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766" firstSheet="1" activeTab="2"/>
  </bookViews>
  <sheets>
    <sheet name="Титул" sheetId="1" r:id="rId1"/>
    <sheet name="таблица 1" sheetId="2" r:id="rId2"/>
    <sheet name="Таблица 2018" sheetId="3" r:id="rId3"/>
    <sheet name="Таблица 2019" sheetId="4" r:id="rId4"/>
    <sheet name="Таблица 2020" sheetId="5" r:id="rId5"/>
    <sheet name="Таблица 2.1,3,4" sheetId="6" r:id="rId6"/>
    <sheet name="расчеты 4" sheetId="7" r:id="rId7"/>
    <sheet name="расчеты 2 и пожертвования" sheetId="8" r:id="rId8"/>
    <sheet name="расчет (5)" sheetId="9" r:id="rId9"/>
    <sheet name="Лист1" sheetId="10" r:id="rId10"/>
  </sheets>
  <definedNames>
    <definedName name="_xlnm.Print_Area" localSheetId="8">'расчет (5)'!$A$1:$G$176</definedName>
    <definedName name="_xlnm.Print_Area" localSheetId="7">'расчеты 2 и пожертвования'!$A$1:$H$479</definedName>
    <definedName name="_xlnm.Print_Area" localSheetId="6">'расчеты 4'!$A$1:$I$579</definedName>
    <definedName name="_xlnm.Print_Area" localSheetId="2">'Таблица 2018'!$A$1:$J$75</definedName>
    <definedName name="_xlnm.Print_Area" localSheetId="3">'Таблица 2019'!$A$1:$J$74</definedName>
    <definedName name="_xlnm.Print_Area" localSheetId="4">'Таблица 2020'!$A$1:$J$74</definedName>
    <definedName name="_xlnm.Print_Area" localSheetId="0">'Титул'!$A$1:$F$34</definedName>
  </definedNames>
  <calcPr fullCalcOnLoad="1"/>
</workbook>
</file>

<file path=xl/sharedStrings.xml><?xml version="1.0" encoding="utf-8"?>
<sst xmlns="http://schemas.openxmlformats.org/spreadsheetml/2006/main" count="2444" uniqueCount="750">
  <si>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</si>
  <si>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</si>
  <si>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</si>
  <si>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</si>
  <si>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</si>
  <si>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</si>
  <si>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</si>
  <si>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</si>
  <si>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</si>
  <si>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</si>
  <si>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</si>
  <si>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</si>
  <si>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N п/п</t>
  </si>
  <si>
    <t>Нефинансовые активы, всего: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</si>
  <si>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</si>
  <si>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</si>
  <si>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</si>
  <si>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</si>
  <si>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</si>
  <si>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</si>
  <si>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</si>
  <si>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</si>
  <si>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</si>
  <si>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</si>
  <si>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</si>
  <si>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</si>
  <si>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</si>
  <si>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</si>
  <si>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</si>
  <si>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</si>
  <si>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</si>
  <si>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</si>
  <si>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</si>
  <si>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</si>
  <si>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</si>
  <si>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</si>
  <si>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</si>
  <si>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</si>
  <si>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</si>
  <si>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</si>
  <si>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</si>
  <si>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</si>
  <si>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</si>
  <si>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</si>
  <si>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</si>
  <si>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r>
      <t xml:space="preserve">в соответствии с Федеральным </t>
    </r>
    <r>
      <rPr>
        <u val="single"/>
        <sz val="10.5"/>
        <color indexed="12"/>
        <rFont val="Times New Roman"/>
        <family val="1"/>
      </rPr>
      <t>законом</t>
    </r>
    <r>
      <rPr>
        <sz val="10.5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</si>
  <si>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u val="single"/>
        <sz val="10.5"/>
        <color indexed="12"/>
        <rFont val="Times New Roman"/>
        <family val="1"/>
      </rPr>
      <t>законом</t>
    </r>
    <r>
      <rPr>
        <sz val="10.5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</si>
  <si>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</si>
  <si>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</si>
  <si>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</si>
  <si>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</si>
  <si>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</si>
  <si>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</si>
  <si>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КВР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</si>
  <si>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</si>
  <si>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</si>
  <si>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</si>
  <si>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</si>
  <si>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</si>
  <si>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</si>
  <si>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</si>
  <si>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</si>
  <si>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</si>
  <si>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</si>
  <si>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</si>
  <si>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</si>
  <si>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</si>
  <si>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</si>
  <si>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</si>
  <si>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</si>
  <si>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</si>
  <si>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</si>
  <si>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</si>
  <si>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</si>
  <si>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</si>
  <si>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Предоставление организованного отдыха, содержательного досуга, занятости обучающимся образовательных учреждений Трехгорного городского округа (родительская плата)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</si>
  <si>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</si>
  <si>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</si>
  <si>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</si>
  <si>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доходы, в том числе   добровольные пожертвования физических и юридических лиц</t>
  </si>
  <si>
    <t>Доходы от операций с активами</t>
  </si>
  <si>
    <t>их них:</t>
  </si>
  <si>
    <t>Прочие выплаты</t>
  </si>
  <si>
    <t>Безвозмездные перечисления организациям</t>
  </si>
  <si>
    <t>Прочие расходы (кроме расходов на закупку товаров, работ, услуг)</t>
  </si>
  <si>
    <t>Комунальные услуги (теплоснабжение)</t>
  </si>
  <si>
    <t>Комунальные услуги (электроснабжение)</t>
  </si>
  <si>
    <t>Комунальные услуги (водоотведение)</t>
  </si>
  <si>
    <t>Увеличение стоимости основных средств (мебель и оборудование)</t>
  </si>
  <si>
    <t>Поступление финансовых активов, всего</t>
  </si>
  <si>
    <t>Увеличение остатков средств</t>
  </si>
  <si>
    <t>Прочие поступления</t>
  </si>
  <si>
    <t>Выбитие финансовых активов, всего</t>
  </si>
  <si>
    <t>Уменьшение остатков средств</t>
  </si>
  <si>
    <t>Прочие выбытия</t>
  </si>
  <si>
    <t xml:space="preserve"> </t>
  </si>
  <si>
    <t>УТВЕРЖДАЮ</t>
  </si>
  <si>
    <t>(наименование должностного лица, утверждающего документ)</t>
  </si>
  <si>
    <t>И.А.Первухина</t>
  </si>
  <si>
    <t>(подпись)</t>
  </si>
  <si>
    <t>(расшифровка подписи)</t>
  </si>
  <si>
    <t xml:space="preserve">  ПЛАН ФИНАНСОВО-ХОЗЯЙСТВЕННОЙ ДЕЯТЕЛЬНОСТИ</t>
  </si>
  <si>
    <t>КОДЫ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</si>
  <si>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</si>
  <si>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</si>
  <si>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</si>
  <si>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Управление образования администрации города Трехгорного</t>
  </si>
  <si>
    <t>ИНН / КПП</t>
  </si>
  <si>
    <t xml:space="preserve">Единица измерения: </t>
  </si>
  <si>
    <t>руб.</t>
  </si>
  <si>
    <t>по ОКЕИ</t>
  </si>
  <si>
    <t>Сведения о деятельности муниципального учреждения</t>
  </si>
  <si>
    <t>Сумма                                           (руб., с точностью до двух знаков после запятой - 0,00)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</si>
  <si>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</si>
  <si>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</si>
  <si>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 xml:space="preserve">                       (последнюю отчетную дату)</t>
  </si>
  <si>
    <t>Поступления от приносящей доход деятельности</t>
  </si>
  <si>
    <t>Добровольные пожертвования</t>
  </si>
  <si>
    <t>Работы, услуги по содержанию имущества (капитальный ремонт)</t>
  </si>
  <si>
    <t>243</t>
  </si>
  <si>
    <t>Должность, группа должностей</t>
  </si>
  <si>
    <t>1.1. Расчеты (обоснования) расходов на оплату труда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</si>
  <si>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</si>
  <si>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</si>
  <si>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</si>
  <si>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</si>
  <si>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</si>
  <si>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</si>
  <si>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</si>
  <si>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</si>
  <si>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</si>
  <si>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</si>
  <si>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</si>
  <si>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</si>
  <si>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</si>
  <si>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</si>
  <si>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</si>
  <si>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</si>
  <si>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</si>
  <si>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</si>
  <si>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
 (гр. 3 x гр. 4 x гр. 5)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</si>
  <si>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</si>
  <si>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</si>
  <si>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</si>
  <si>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Размер одной выплаты, руб.</t>
  </si>
  <si>
    <t>Количество выплат в год</t>
  </si>
  <si>
    <t>Общая сумма выплат, руб. (гр. 3 x гр. 4)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</si>
  <si>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</si>
  <si>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</si>
  <si>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</si>
  <si>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Количество номеров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</si>
  <si>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</si>
  <si>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</si>
  <si>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</si>
  <si>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</si>
  <si>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</si>
  <si>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</si>
  <si>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</si>
  <si>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Средства местного бюджета, всего: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</si>
  <si>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</si>
  <si>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</si>
  <si>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</si>
  <si>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</si>
  <si>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</si>
  <si>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3.1.</t>
  </si>
  <si>
    <t>3.2.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</si>
  <si>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</si>
  <si>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</si>
  <si>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</si>
  <si>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</si>
  <si>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3.3.</t>
  </si>
  <si>
    <t>Прочие налоги и сборы</t>
  </si>
  <si>
    <t>Транспортный налог</t>
  </si>
  <si>
    <t>в том числе по транспортным средствам:</t>
  </si>
  <si>
    <t>3.3.1.</t>
  </si>
  <si>
    <t xml:space="preserve">Плата за негативное воздействие на окружающую среду </t>
  </si>
  <si>
    <t>Теплоснабжение</t>
  </si>
  <si>
    <t>Водоснабжение</t>
  </si>
  <si>
    <t>Водоотведение</t>
  </si>
  <si>
    <t xml:space="preserve">Прочие расходы </t>
  </si>
  <si>
    <t>Начальник Управления образования администрации города Трехгорного</t>
  </si>
  <si>
    <t>Сумма  (руб.)</t>
  </si>
  <si>
    <t xml:space="preserve">Директор </t>
  </si>
  <si>
    <t>Отвественный исполнитель</t>
  </si>
  <si>
    <t xml:space="preserve">"_____"_________ 20___ г </t>
  </si>
  <si>
    <t>(очередной финансовый год)</t>
  </si>
  <si>
    <t>Объем финансового обеспечения, руб.</t>
  </si>
  <si>
    <t>(наименование учреждения)</t>
  </si>
  <si>
    <t>Код видов расходов  852</t>
  </si>
  <si>
    <t>Код видов расходов  853</t>
  </si>
  <si>
    <t>3.4.</t>
  </si>
  <si>
    <t>3.4.1.</t>
  </si>
  <si>
    <t>Фонд оплаты труда в год, руб. (гр. 3 x гр. 4) x гр. 8 x 12)</t>
  </si>
  <si>
    <t>Тариф 
(с учетом НДС), руб.</t>
  </si>
  <si>
    <t>Электроснабжение</t>
  </si>
  <si>
    <t>Период</t>
  </si>
  <si>
    <t>Тариф</t>
  </si>
  <si>
    <t>Стоимость, руб.</t>
  </si>
  <si>
    <t>Итого за счет средств областного бюджета :</t>
  </si>
  <si>
    <t>Муниципальное бюджетное дошкольное образовательное учреждение "Детский сад № 1"</t>
  </si>
  <si>
    <t>7405006701/745701001</t>
  </si>
  <si>
    <t xml:space="preserve"> реализация образовательных программ дошкольного образования, предоставление услуг по дневному уходу за детьми.</t>
  </si>
  <si>
    <t xml:space="preserve">Дополнительными видами деятельности Учреждения являются: </t>
  </si>
  <si>
    <t>организация отдыха детей в каникулярное время (при формировании муниципального задания Учредителем), организация досуга воспитанников, проведение культурно-массовых мероприятий, организация и проведение научно-практических семинаров и конференций,реализация дополнительных общеразвивающих программ и оказание платных образовательных услуг, не предусмотренных федеральными государственными образовательными стандартами без получения дополнительных лицензий, оказание услуг, сопровождающих образовательный процесс:</t>
  </si>
  <si>
    <t>а) консультации для родителей с приглашением специалистов;</t>
  </si>
  <si>
    <t>б) сопровождение индивидуальных образовательных маршрутов;</t>
  </si>
  <si>
    <t>в) проведение стажировок, семинаров для педагогических кадров.</t>
  </si>
  <si>
    <t>Ирина Петровна Зимакина-Белобородова</t>
  </si>
  <si>
    <t>Возмещение расходов на прохождение медицинского осмотра</t>
  </si>
  <si>
    <t>Ежемесячные компенсационные выплаты сотрудникам (работникам), находящимся в отпуске по уходу за ребенком до достижения им возраста 3 лет</t>
  </si>
  <si>
    <t>Абонентская и повременная плата за использование линий связи</t>
  </si>
  <si>
    <t>Плата за предоставление доступа и использование линий связи, передачу данных по каналам связи</t>
  </si>
  <si>
    <t>Плата за подключение и абонентское обслуживание в системе электронного документооборота, в т.ч. с использованием сертифицированных средств криптографической защиты информации</t>
  </si>
  <si>
    <t>Оплата услуг INTERNET (внутренний и внешний трафик) безлимитный</t>
  </si>
  <si>
    <t>Абонентская  плата за радиоточку</t>
  </si>
  <si>
    <t>Вывоз твердых бытовых отходов</t>
  </si>
  <si>
    <t>Дезинсекция КЛЕЩИ</t>
  </si>
  <si>
    <t>Дератизация (ГРЫЗУНЫ)</t>
  </si>
  <si>
    <t>Дезинсекция (НАСЕКОМЫЕ)</t>
  </si>
  <si>
    <t>Обработка пухо-перовых изделий</t>
  </si>
  <si>
    <t>Обработка ковровых изделий</t>
  </si>
  <si>
    <t>Обработка одеял</t>
  </si>
  <si>
    <t>Стирка спец.одежды</t>
  </si>
  <si>
    <t>Стирка фасонного белья</t>
  </si>
  <si>
    <t>Услуги по текущему содержанию (техническому  обслуживанию и  эксплуатации) электрических сетей и электрооборудования зданий и сооружений</t>
  </si>
  <si>
    <t xml:space="preserve">Услуги по текущему содержанию (техническому обслуживанию)  внутренних санитарно-технических систем  зданий и сооружений </t>
  </si>
  <si>
    <t xml:space="preserve">Услуги по  текущему  содержанию (техническому обслуживанию)  пожарно-охранной  сигнализации, СОУЭ зданий и сооружений </t>
  </si>
  <si>
    <t>Услуги по заполнению песочниц песком</t>
  </si>
  <si>
    <t>Ремонт и техническое обслуживание оргтехники</t>
  </si>
  <si>
    <t>Заправка картриджа</t>
  </si>
  <si>
    <t>Ремонт и техническое обслуживание кухонного, холодильного и весового оборудования</t>
  </si>
  <si>
    <t>Ремонт и техническое обслуживание медицинского оборудования</t>
  </si>
  <si>
    <t>Заместитель заведующего по АХЧ</t>
  </si>
  <si>
    <t>Бухгалтер</t>
  </si>
  <si>
    <t>Экономист</t>
  </si>
  <si>
    <t>Заведующий складом</t>
  </si>
  <si>
    <t>Специалист по охране труда</t>
  </si>
  <si>
    <t>Специалист по кадрам</t>
  </si>
  <si>
    <t>Заведующий хозяйством</t>
  </si>
  <si>
    <t>Делопроизводитель</t>
  </si>
  <si>
    <t>Повар</t>
  </si>
  <si>
    <t>Шеф-повар</t>
  </si>
  <si>
    <t>Швея</t>
  </si>
  <si>
    <t>Кухонный рабочий</t>
  </si>
  <si>
    <t>Машинист по стирке и ремонту спец. одежды</t>
  </si>
  <si>
    <t>Уборщик служебных помещений</t>
  </si>
  <si>
    <t>Сторож</t>
  </si>
  <si>
    <t>РКОЗ</t>
  </si>
  <si>
    <t>РКОЗ (зимний период)</t>
  </si>
  <si>
    <t>Заведующий детским садом</t>
  </si>
  <si>
    <t xml:space="preserve">Заместитель заведующего по методической и воспитательной (организационной) работе </t>
  </si>
  <si>
    <t>Воспитатель</t>
  </si>
  <si>
    <t>Педагог-психолог</t>
  </si>
  <si>
    <t>Музыкальный руководитель</t>
  </si>
  <si>
    <t>Инструктор по физической культуре</t>
  </si>
  <si>
    <t>Учитель-логопед</t>
  </si>
  <si>
    <t>Старший воспитатель</t>
  </si>
  <si>
    <t>Младший воспитатель</t>
  </si>
  <si>
    <t>74:42:0103002:10</t>
  </si>
  <si>
    <t>74:42:0103002:9</t>
  </si>
  <si>
    <t>74:42:0103001:22</t>
  </si>
  <si>
    <t>74:42:0103001:23</t>
  </si>
  <si>
    <t>госпошлина за регистрацию изменений</t>
  </si>
  <si>
    <t>Комунальные услуги (водоснабжение)</t>
  </si>
  <si>
    <t>Испытание электрических сетей</t>
  </si>
  <si>
    <t>Утилизация (захоронение) ТБО</t>
  </si>
  <si>
    <t>Утилизация ламп</t>
  </si>
  <si>
    <t>Лабораторный контроль (отбор проб)</t>
  </si>
  <si>
    <t>Гигиеническое обучение сотрудников</t>
  </si>
  <si>
    <t>Взимание нотариального тарифа за совершение нотариальных действий по заверению устава и изменений к уставу заверенных в ИФНС</t>
  </si>
  <si>
    <t>Приобретение и обновление справочно-информационных баз данных программного продукта "1С: Предприятие" (диск "ИТС" )</t>
  </si>
  <si>
    <t>Сопровождение ("Расчет заработной платы")</t>
  </si>
  <si>
    <t>Сопровождение "1С:Бухгалтерия"</t>
  </si>
  <si>
    <t>Продление использования антивирусной программы "Касперский"</t>
  </si>
  <si>
    <t>Диспансеризация, медицинский осмотр, проведение медицинских анализов и освидетельствование работников, состоящих в штате учреждения</t>
  </si>
  <si>
    <t>Услуги ведомственной, вневедомственной охраны</t>
  </si>
  <si>
    <t>Тетрадь 18 листов</t>
  </si>
  <si>
    <t>хозяйственные материалы:</t>
  </si>
  <si>
    <t>Бумага туалетная</t>
  </si>
  <si>
    <t>Хлор-таблетки "жавилар"</t>
  </si>
  <si>
    <t>Хлор.дез.средство "Амидез"</t>
  </si>
  <si>
    <t>Мыло жидкое 500мл</t>
  </si>
  <si>
    <t>Тряпка д/пола 80*100</t>
  </si>
  <si>
    <t>Моющее ср-во "Прогресс" 5л</t>
  </si>
  <si>
    <t>Моющее ср-во "Санокс" 750мл</t>
  </si>
  <si>
    <t>Мыло детское нейтральное 90гр</t>
  </si>
  <si>
    <t>Мыло хозяйственное 300гр</t>
  </si>
  <si>
    <t>Перчатки резиновые М</t>
  </si>
  <si>
    <t>Порошок стиральный 2кг</t>
  </si>
  <si>
    <t>Средство чистящее "Комет" 400гр.</t>
  </si>
  <si>
    <t>Губка металлическая</t>
  </si>
  <si>
    <t>Сода кальценированная 600гр</t>
  </si>
  <si>
    <t>Салфетки бумажные 100шт</t>
  </si>
  <si>
    <t>Веник</t>
  </si>
  <si>
    <t>канцелярские принадлежности:</t>
  </si>
  <si>
    <t xml:space="preserve">книга учета </t>
  </si>
  <si>
    <t>меню-требование</t>
  </si>
  <si>
    <t>бумага д/факса</t>
  </si>
  <si>
    <t>бумага д/принтера</t>
  </si>
  <si>
    <t>файл</t>
  </si>
  <si>
    <t>Бланки строгой отчетности</t>
  </si>
  <si>
    <t>картридж</t>
  </si>
  <si>
    <t>фотобарабан</t>
  </si>
  <si>
    <t>краска для выполнения наружных работ</t>
  </si>
  <si>
    <t>грунтовка</t>
  </si>
  <si>
    <t>лампы ЛБ-18</t>
  </si>
  <si>
    <t>лампы ЛБ-40</t>
  </si>
  <si>
    <t>смеситель для пищеблока</t>
  </si>
  <si>
    <t>Родительская плата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</si>
  <si>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питания сотрудников по месту работы</t>
  </si>
  <si>
    <t>Платные услуги</t>
  </si>
  <si>
    <t>Реализация пищевых отходов</t>
  </si>
  <si>
    <t>п. 5 до 400тыс &gt;50%</t>
  </si>
  <si>
    <t>п. 4 до 100тыс &gt;5%</t>
  </si>
  <si>
    <t>естеств монополии</t>
  </si>
  <si>
    <t>п. 8, 29 ед. пост- комм</t>
  </si>
  <si>
    <t>котировки &gt;10%</t>
  </si>
  <si>
    <t>аукционы</t>
  </si>
  <si>
    <t>суб мал пред = 15%</t>
  </si>
  <si>
    <t>кап ремонт</t>
  </si>
  <si>
    <t>Пенсионный фонд РФ 22%</t>
  </si>
  <si>
    <t>Фонд социального страхования РФ 2,9%</t>
  </si>
  <si>
    <t>Федеральный фонд обязательного медицинского страхования 5,1%</t>
  </si>
  <si>
    <t>ФСС РФ на выплаты от несчастных случаев на производстве и профессиональных заболеваний 0,2%</t>
  </si>
  <si>
    <t>Итого за счет средств местного бюджета</t>
  </si>
  <si>
    <t>Итого за счет средств областного бюджета</t>
  </si>
  <si>
    <t xml:space="preserve">Итого за счет средств по платной деятельности </t>
  </si>
  <si>
    <t>ВСЕГО</t>
  </si>
  <si>
    <t>…</t>
  </si>
  <si>
    <t>Средства областного бюджета, всего:</t>
  </si>
  <si>
    <t>Лимиты (Постановление от  14.11.2016 № 1544</t>
  </si>
  <si>
    <t>Фактическое потребление 2016года</t>
  </si>
  <si>
    <t>За счет средств местного бюджета</t>
  </si>
  <si>
    <t>За счет средств от платной деятельности</t>
  </si>
  <si>
    <t>январь</t>
  </si>
  <si>
    <t>февраль</t>
  </si>
  <si>
    <t>март</t>
  </si>
  <si>
    <t>I квартал (руб.)</t>
  </si>
  <si>
    <t>апрель</t>
  </si>
  <si>
    <t>май</t>
  </si>
  <si>
    <t>июнь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</si>
  <si>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</si>
  <si>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</si>
  <si>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</si>
  <si>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</si>
  <si>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</si>
  <si>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</si>
  <si>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</si>
  <si>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IV квартал (тыс. руб.)</t>
  </si>
  <si>
    <t>ИТОГО на ГОД:</t>
  </si>
  <si>
    <t>ВСЕГО по КОСГУ 223:</t>
  </si>
  <si>
    <t>Средства областного бюджета :</t>
  </si>
  <si>
    <t>Средства  добровольных пожертвований :</t>
  </si>
  <si>
    <t>Средста  платной деятельности, всего:</t>
  </si>
  <si>
    <r>
      <t xml:space="preserve">Источник финансового обеспечения   </t>
    </r>
    <r>
      <rPr>
        <u val="single"/>
        <sz val="10"/>
        <color indexed="8"/>
        <rFont val="Times New Roman"/>
        <family val="1"/>
      </rPr>
      <t>Трехгорный городской округ</t>
    </r>
  </si>
  <si>
    <t>2. Расчеты (обоснования) расходов на социальные и иные выплаты населению (строка 220)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</si>
  <si>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321</t>
    </r>
  </si>
  <si>
    <r>
      <t xml:space="preserve">КОСГУ </t>
    </r>
    <r>
      <rPr>
        <u val="single"/>
        <sz val="10"/>
        <color indexed="8"/>
        <rFont val="Times New Roman"/>
        <family val="1"/>
      </rPr>
      <t>262</t>
    </r>
  </si>
  <si>
    <t>2.1.Расчеты (обоснования) расходов на социальные и иные выплаты населению</t>
  </si>
  <si>
    <t>3. Расчет (обоснование) расходов на уплату налогов, сборов и иных платежей (строка 230)</t>
  </si>
  <si>
    <t>3.1 Расчет (обоснование) расходов на уплату налогов, сборов и иных платежей</t>
  </si>
  <si>
    <t>3.2 Расчет (обоснование) расходов на уплату налогов, сборов и иных платежей</t>
  </si>
  <si>
    <t>3.3 Расчет (обоснование) расходов на уплату сборов и иных платежей</t>
  </si>
  <si>
    <t>4. Расчет (обоснование) прочих расходов ( кроме расходов на закупку товаров, работ, услуг)  (строка 250)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</si>
  <si>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112</t>
    </r>
  </si>
  <si>
    <r>
      <t xml:space="preserve">КОСГУ </t>
    </r>
    <r>
      <rPr>
        <u val="single"/>
        <sz val="10"/>
        <color indexed="8"/>
        <rFont val="Times New Roman"/>
        <family val="1"/>
      </rPr>
      <t>212</t>
    </r>
  </si>
  <si>
    <t xml:space="preserve">Итого за счет средств местного бюджета </t>
  </si>
  <si>
    <t>Итого за счет средств добровольных пожертвований :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</si>
  <si>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113</t>
    </r>
  </si>
  <si>
    <r>
      <t xml:space="preserve">КОСГУ </t>
    </r>
    <r>
      <rPr>
        <u val="single"/>
        <sz val="10"/>
        <color indexed="8"/>
        <rFont val="Times New Roman"/>
        <family val="1"/>
      </rPr>
      <t>290</t>
    </r>
  </si>
  <si>
    <t>Средний размер выплаты на одного ребенка в день, руб.</t>
  </si>
  <si>
    <t>Количество детей, чел.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</si>
  <si>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360</t>
    </r>
  </si>
  <si>
    <t>Численность учащихся, чел</t>
  </si>
  <si>
    <t>Количество выплат в год на одного учащегося</t>
  </si>
  <si>
    <t>материальная помощь медалистам</t>
  </si>
  <si>
    <r>
      <t>Код видов расходов</t>
    </r>
    <r>
      <rPr>
        <u val="single"/>
        <sz val="10"/>
        <color indexed="8"/>
        <rFont val="Times New Roman"/>
        <family val="1"/>
      </rPr>
      <t xml:space="preserve">   243</t>
    </r>
  </si>
  <si>
    <t>5.1 Расчет (обоснование) расходов на оплату работ, услуг по содержанию имущества (Капитальный ремонт)</t>
  </si>
  <si>
    <r>
      <t xml:space="preserve">КОСГУ </t>
    </r>
    <r>
      <rPr>
        <u val="single"/>
        <sz val="10"/>
        <color indexed="8"/>
        <rFont val="Times New Roman"/>
        <family val="1"/>
      </rPr>
      <t>225</t>
    </r>
  </si>
  <si>
    <r>
      <t>Код видов расходов</t>
    </r>
    <r>
      <rPr>
        <u val="single"/>
        <sz val="10"/>
        <color indexed="8"/>
        <rFont val="Times New Roman"/>
        <family val="1"/>
      </rPr>
      <t xml:space="preserve">   244</t>
    </r>
  </si>
  <si>
    <t>5.2 Расчет (обоснование) расходов на оплату услуг связи</t>
  </si>
  <si>
    <r>
      <t xml:space="preserve">КОСГУ </t>
    </r>
    <r>
      <rPr>
        <u val="single"/>
        <sz val="10"/>
        <color indexed="8"/>
        <rFont val="Times New Roman"/>
        <family val="1"/>
      </rPr>
      <t xml:space="preserve"> 221</t>
    </r>
  </si>
  <si>
    <t>5.3. Расчет (обоснование) расходов на оплату транспортных услуг</t>
  </si>
  <si>
    <r>
      <t xml:space="preserve">КОСГУ </t>
    </r>
    <r>
      <rPr>
        <u val="single"/>
        <sz val="10"/>
        <color indexed="8"/>
        <rFont val="Times New Roman"/>
        <family val="1"/>
      </rPr>
      <t>222</t>
    </r>
  </si>
  <si>
    <t>5.4. Расчет (обоснование) расходов на оплату коммунальных услуг</t>
  </si>
  <si>
    <r>
      <t xml:space="preserve">КОСГУ </t>
    </r>
    <r>
      <rPr>
        <u val="single"/>
        <sz val="10"/>
        <color indexed="8"/>
        <rFont val="Times New Roman"/>
        <family val="1"/>
      </rPr>
      <t>223</t>
    </r>
  </si>
  <si>
    <t>5.5. Расчет (обоснование) расходов на оплату аренды имущества</t>
  </si>
  <si>
    <r>
      <t xml:space="preserve">КОСГУ </t>
    </r>
    <r>
      <rPr>
        <u val="single"/>
        <sz val="10"/>
        <color indexed="8"/>
        <rFont val="Times New Roman"/>
        <family val="1"/>
      </rPr>
      <t>224</t>
    </r>
  </si>
  <si>
    <t>5.6. Расчет (обоснование) расходов на оплату работ, услуг по содержанию имущества</t>
  </si>
  <si>
    <t>Название муниципальной программы</t>
  </si>
  <si>
    <t>Подпункт муниципальной программы</t>
  </si>
  <si>
    <t>ВСЕГО:</t>
  </si>
  <si>
    <r>
      <t xml:space="preserve">КОСГУ </t>
    </r>
    <r>
      <rPr>
        <u val="single"/>
        <sz val="10"/>
        <color indexed="8"/>
        <rFont val="Times New Roman"/>
        <family val="1"/>
      </rPr>
      <t>226</t>
    </r>
  </si>
  <si>
    <r>
      <t xml:space="preserve">КОСГУ </t>
    </r>
    <r>
      <rPr>
        <u val="single"/>
        <sz val="10"/>
        <color indexed="8"/>
        <rFont val="Times New Roman"/>
        <family val="1"/>
      </rPr>
      <t>310</t>
    </r>
  </si>
  <si>
    <r>
      <t xml:space="preserve">КОСГУ </t>
    </r>
    <r>
      <rPr>
        <u val="single"/>
        <sz val="10"/>
        <color indexed="8"/>
        <rFont val="Times New Roman"/>
        <family val="1"/>
      </rPr>
      <t>340</t>
    </r>
  </si>
  <si>
    <t>Сумма всего на ГОД</t>
  </si>
  <si>
    <t>Согласовано:</t>
  </si>
  <si>
    <t>Специалист ФЭО</t>
  </si>
  <si>
    <t>1. Расчет (обоснование) прочих расходов ( кроме расходов на закупку товаров, работ, услуг)  (строка 250)</t>
  </si>
  <si>
    <t>Приложение к плану финансово-хозяйственной деятельности  № 1</t>
  </si>
  <si>
    <t>5.7. Расчет (обоснование) расходов на оплату прочих работ, услуг</t>
  </si>
  <si>
    <t>5.8. Прочие расходы</t>
  </si>
  <si>
    <t>количество  услуги, руб.</t>
  </si>
  <si>
    <r>
      <t xml:space="preserve">КОСГУ  </t>
    </r>
    <r>
      <rPr>
        <u val="single"/>
        <sz val="10"/>
        <color indexed="8"/>
        <rFont val="Times New Roman"/>
        <family val="1"/>
      </rPr>
      <t>310</t>
    </r>
  </si>
  <si>
    <t>2.8. Расчет (обоснование) расходов на приобретение  материальных запасов</t>
  </si>
  <si>
    <t>5.9. 2.Расчет (обоснование) расходов на приобретение основных средств (мебель и оборудование)</t>
  </si>
  <si>
    <t>Заведующий</t>
  </si>
  <si>
    <t>Сумма, руб.</t>
  </si>
  <si>
    <t xml:space="preserve"> Показатели по поступлениям и выплатам учреждения 'на 2019 год  </t>
  </si>
  <si>
    <t xml:space="preserve">4. Общая балансовая стоимость недвижимого муниципального имущества                                                                                                26 944 700,73 руб.         </t>
  </si>
  <si>
    <t>ВСЕГО по КВР 851</t>
  </si>
  <si>
    <t>4.1.1.</t>
  </si>
  <si>
    <t xml:space="preserve">командировочные расходы сотрудникам состоящим в штате учреждения </t>
  </si>
  <si>
    <t>4.1.2.</t>
  </si>
  <si>
    <t>командировочные расходы сотрудникам состоящим в штате учреждения, направляемым на физкультурно массовые мероприятия</t>
  </si>
  <si>
    <t xml:space="preserve">Количество </t>
  </si>
  <si>
    <t>единица измерений</t>
  </si>
  <si>
    <t>Сумма, руб. (гр. 3 x гр. 5 x гр. 6)</t>
  </si>
  <si>
    <t>шт</t>
  </si>
  <si>
    <t>мин</t>
  </si>
  <si>
    <t>За счет средств областного бюджета</t>
  </si>
  <si>
    <t>* заполняется дошкольными образовательными организациями</t>
  </si>
  <si>
    <t>Расчет затрат на продукты питания для суточных проб</t>
  </si>
  <si>
    <t>Наименование показателей</t>
  </si>
  <si>
    <t>Единица измерения</t>
  </si>
  <si>
    <t>Сумма  расходов  на  2017 год  в руб.</t>
  </si>
  <si>
    <t>Показатель на 2017 год</t>
  </si>
  <si>
    <t xml:space="preserve">Количество проб (воспитанники до 3 лет) </t>
  </si>
  <si>
    <t>пробы</t>
  </si>
  <si>
    <t xml:space="preserve">Численность воспитанников до 3 лет </t>
  </si>
  <si>
    <t>чел.</t>
  </si>
  <si>
    <t xml:space="preserve">Количество проб (воспитанники от 3 до 7 лет) </t>
  </si>
  <si>
    <t xml:space="preserve">Численность воспитанников от 3 до 7 лет </t>
  </si>
  <si>
    <t xml:space="preserve">Рабочих дней в году  </t>
  </si>
  <si>
    <t>дней</t>
  </si>
  <si>
    <t>Сумма на оплату суточных проб (воспитанники от 3 до 7 лет)</t>
  </si>
  <si>
    <t xml:space="preserve">Сумма на питание воспитанников до 3 лет </t>
  </si>
  <si>
    <t>Итого сумма на год</t>
  </si>
  <si>
    <t xml:space="preserve">Сумма на питание воспитанников от 3 до 7 лет </t>
  </si>
  <si>
    <t>Средний процент непосещаемости</t>
  </si>
  <si>
    <t>процент</t>
  </si>
  <si>
    <t>Итого сумма  на  питание  с  учетом   коэффициента   непосещаемости</t>
  </si>
  <si>
    <t xml:space="preserve">Итого в год  </t>
  </si>
  <si>
    <t>Наименование программных мероприятий</t>
  </si>
  <si>
    <t>Местный бюджет</t>
  </si>
  <si>
    <t>Областной бюджет</t>
  </si>
  <si>
    <t>ВСЕГО на ГОД</t>
  </si>
  <si>
    <t>"Развитие образования в городе Трехгорном на 2017 - 2019 годы"</t>
  </si>
  <si>
    <t xml:space="preserve"> подпрограмма:</t>
  </si>
  <si>
    <t>1.1.</t>
  </si>
  <si>
    <t>Финансовое обеспечение получения общего образования и услуг по присмотру и уходу в общеобразовательных учреждениях</t>
  </si>
  <si>
    <t>1.2.</t>
  </si>
  <si>
    <t xml:space="preserve">Финансовое обеспечение получения дополнительного образования </t>
  </si>
  <si>
    <t>1.3.</t>
  </si>
  <si>
    <t>Финансовое обеспечение ………</t>
  </si>
  <si>
    <t>2.1.</t>
  </si>
  <si>
    <t>ВСЕГО ПО (КВФО 4)</t>
  </si>
  <si>
    <t>5.10.2.1</t>
  </si>
  <si>
    <t>5.10.2.2</t>
  </si>
  <si>
    <t>Продукты питания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</si>
  <si>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</si>
  <si>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</si>
  <si>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</si>
  <si>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</si>
  <si>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</si>
  <si>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</si>
  <si>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</si>
  <si>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</si>
  <si>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</si>
  <si>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</si>
  <si>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</si>
  <si>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</si>
  <si>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</si>
  <si>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</si>
  <si>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</si>
  <si>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5.10.1.</t>
  </si>
  <si>
    <t>5.10.2.</t>
  </si>
  <si>
    <t>5.10.3.</t>
  </si>
  <si>
    <t>5.10.4.</t>
  </si>
  <si>
    <t>5.10.5.</t>
  </si>
  <si>
    <t>5.10.6.</t>
  </si>
  <si>
    <t>5.10.7.</t>
  </si>
  <si>
    <t>5.10.8.</t>
  </si>
  <si>
    <t>5.10.9.</t>
  </si>
  <si>
    <t>5.10.10.</t>
  </si>
  <si>
    <t>5.10.11.</t>
  </si>
  <si>
    <t>5.10.12.</t>
  </si>
  <si>
    <t>5.10.13.</t>
  </si>
  <si>
    <t>5.10.14.</t>
  </si>
  <si>
    <t>5.10.15.</t>
  </si>
  <si>
    <t>5.10.16.</t>
  </si>
  <si>
    <t>5.10.17.</t>
  </si>
  <si>
    <t>5.10.18.</t>
  </si>
  <si>
    <t>5.10.19.</t>
  </si>
  <si>
    <t>5.10.20.</t>
  </si>
  <si>
    <t>5.10.21.</t>
  </si>
  <si>
    <t>5.10.22.</t>
  </si>
  <si>
    <t>Итого за счет средств от платной деятельности :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</si>
  <si>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111</t>
    </r>
  </si>
  <si>
    <r>
      <t xml:space="preserve">КОСГУ </t>
    </r>
    <r>
      <rPr>
        <u val="single"/>
        <sz val="10"/>
        <color indexed="8"/>
        <rFont val="Times New Roman"/>
        <family val="1"/>
      </rPr>
      <t>211</t>
    </r>
  </si>
  <si>
    <r>
      <t xml:space="preserve">Источник финансового обеспечения  </t>
    </r>
    <r>
      <rPr>
        <u val="single"/>
        <sz val="10"/>
        <color indexed="8"/>
        <rFont val="Times New Roman"/>
        <family val="1"/>
      </rPr>
      <t xml:space="preserve"> внебюджетная деятельность</t>
    </r>
  </si>
  <si>
    <t>1.1. Расчеты (обоснование) расходов на оплату труда</t>
  </si>
  <si>
    <r>
      <t>Код видов расходов</t>
    </r>
    <r>
      <rPr>
        <b/>
        <sz val="10"/>
        <color indexed="8"/>
        <rFont val="Times New Roman"/>
        <family val="1"/>
      </rPr>
      <t xml:space="preserve">  </t>
    </r>
    <r>
      <rPr>
        <b/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119</t>
    </r>
  </si>
  <si>
    <r>
      <t xml:space="preserve">КОСГУ </t>
    </r>
    <r>
      <rPr>
        <u val="single"/>
        <sz val="10"/>
        <color indexed="8"/>
        <rFont val="Times New Roman"/>
        <family val="1"/>
      </rPr>
      <t>213</t>
    </r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</si>
  <si>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</si>
  <si>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1.2.1.</t>
  </si>
  <si>
    <t>Пенсионный фонд РФ 22%;                                Фонд социального страхования РФ 2,9%;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</si>
  <si>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2.1.Расчеты (обоснование) расходов на социальные и иные выплаты населению</t>
  </si>
  <si>
    <t>2.1.1.</t>
  </si>
  <si>
    <r>
      <t xml:space="preserve">Код видов расходов  </t>
    </r>
    <r>
      <rPr>
        <u val="single"/>
        <sz val="10"/>
        <color indexed="8"/>
        <rFont val="Times New Roman"/>
        <family val="1"/>
      </rPr>
      <t>851</t>
    </r>
  </si>
  <si>
    <r>
      <t xml:space="preserve">КОСГУ </t>
    </r>
    <r>
      <rPr>
        <u val="single"/>
        <sz val="10"/>
        <color indexed="8"/>
        <rFont val="Times New Roman"/>
        <family val="1"/>
      </rPr>
      <t xml:space="preserve"> 290</t>
    </r>
  </si>
  <si>
    <t>3.1.1.</t>
  </si>
  <si>
    <t>3.2.1.</t>
  </si>
  <si>
    <t>3.2.2.</t>
  </si>
  <si>
    <t>3.3.2.</t>
  </si>
  <si>
    <t>3.3.3.</t>
  </si>
  <si>
    <t>4.1.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</si>
  <si>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</si>
  <si>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</si>
  <si>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4.2  Расчеты (обоснование) выплат персоналу </t>
  </si>
  <si>
    <t>4.2.1.</t>
  </si>
  <si>
    <t>выплат персоналу по уходу за ребенком</t>
  </si>
  <si>
    <t>4.2.2.</t>
  </si>
  <si>
    <t>входящий медицинской осмотр</t>
  </si>
  <si>
    <t>4.3 Расчеты (обоснование) выплат  сотрудникам  при направлении в  командировки</t>
  </si>
  <si>
    <t>4.3.1.</t>
  </si>
  <si>
    <t>4.3.2.</t>
  </si>
  <si>
    <t xml:space="preserve">4.4 Расчеты (обоснование) иных выплат </t>
  </si>
  <si>
    <t>4.4.1.</t>
  </si>
  <si>
    <t>5.1.1.</t>
  </si>
  <si>
    <t>5.1.2.</t>
  </si>
  <si>
    <t>5.2.1.</t>
  </si>
  <si>
    <t>5.2.2.</t>
  </si>
  <si>
    <t>5.3.1.</t>
  </si>
  <si>
    <t>5.3.2.</t>
  </si>
  <si>
    <t>5.4.1.</t>
  </si>
  <si>
    <t>IV квартал (руб.)</t>
  </si>
  <si>
    <t>5.4.2.</t>
  </si>
  <si>
    <t>5.4.3.</t>
  </si>
  <si>
    <t>5.4.4.</t>
  </si>
  <si>
    <t>5.5.1.</t>
  </si>
  <si>
    <t>5.5.2.</t>
  </si>
  <si>
    <t>5.6.1.</t>
  </si>
  <si>
    <t>5.6.2.</t>
  </si>
  <si>
    <t>5.6.3.</t>
  </si>
  <si>
    <t>5.7.1.</t>
  </si>
  <si>
    <t>5.7.2.</t>
  </si>
  <si>
    <t>5.8.  Расчет (обоснование) расходов на оплату прочих расходов</t>
  </si>
  <si>
    <t>5.8.1.</t>
  </si>
  <si>
    <t>5.8.2.</t>
  </si>
  <si>
    <t xml:space="preserve">5.9. Расчет (обоснование) расходов на приобретение основных средств </t>
  </si>
  <si>
    <t>5.9. 1. Расчет (обоснование) расходов на приобретение основных средств (прочие)</t>
  </si>
  <si>
    <t>Наименование источника финансирования</t>
  </si>
  <si>
    <t>За счет средств от  платной деятельности</t>
  </si>
  <si>
    <t>за счет средств добровольных пожертвований</t>
  </si>
  <si>
    <t>ВСЕГО ПО (КВФО 2)</t>
  </si>
  <si>
    <t>5.10.1 Расчет (обоснование) расходов на приобретение  материальных запасов (продукты питания)</t>
  </si>
  <si>
    <t>1.1. Расчеты (обоснование) выплат персоналу при направлении в служебные командировки</t>
  </si>
  <si>
    <t>2.2.1.</t>
  </si>
  <si>
    <t>2.2.2.</t>
  </si>
  <si>
    <t>2.2. Расчет (обоснование) расходов на оплату услуг связи</t>
  </si>
  <si>
    <t>2.3 Расчет (обоснование) расходов на оплату транспортных услуг</t>
  </si>
  <si>
    <t>2.3.1.</t>
  </si>
  <si>
    <t>2.3.2.</t>
  </si>
  <si>
    <t>2.5.1.</t>
  </si>
  <si>
    <t>2.5.2.</t>
  </si>
  <si>
    <t>2.6  Расчет (обоснование) расходов на оплату прочих расходов</t>
  </si>
  <si>
    <t>2.6.1.</t>
  </si>
  <si>
    <t>2.6.2.</t>
  </si>
  <si>
    <t>2.8.1.</t>
  </si>
  <si>
    <t>2.8.2.</t>
  </si>
  <si>
    <t>"Обеспечение противопожарного режима в муниципальных учреждениях города Трехгорного на 2017-2019 годы"</t>
  </si>
  <si>
    <t>2.2.</t>
  </si>
  <si>
    <t>"Обеспечение ….."</t>
  </si>
  <si>
    <t>ВСЕГО ПО (КВФО 5)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</si>
  <si>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</si>
  <si>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</si>
  <si>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Иные выплаты населению</t>
  </si>
  <si>
    <t>Расходы на закупку товаров, работ, всего</t>
  </si>
  <si>
    <t>1.2. Расчеты (обоснования) выплат персоналу при направлении в служебные командировки</t>
  </si>
  <si>
    <t xml:space="preserve">1.3.  Расчеты (обоснования) выплат персоналу </t>
  </si>
  <si>
    <t>3.1. Расчеты (обоснования) выплат  дете  при направлении в  командировки</t>
  </si>
  <si>
    <t xml:space="preserve">3.5 Расчеты (обоснования) иных выплат </t>
  </si>
  <si>
    <t>Упалата налога на имущество организаций и земельного налога</t>
  </si>
  <si>
    <t>Уплата иных платежей (в том числе налог на загрязнение окружающей среды)</t>
  </si>
  <si>
    <t>Работы, услуги по содержанию имущества (текущий ремонт)</t>
  </si>
  <si>
    <t>244</t>
  </si>
  <si>
    <t xml:space="preserve">Прочие работы, услуги (проектно-сметная документация) </t>
  </si>
  <si>
    <t>Увеличение стоимости основных средств (прочие)</t>
  </si>
  <si>
    <t>Увеличение стоимости материальных запасов (прочие)</t>
  </si>
  <si>
    <t>Оплата труда и начисления на выплаты по оплате труда</t>
  </si>
  <si>
    <t>Увеличение стоимости материальных запасов (продукты питания)</t>
  </si>
  <si>
    <r>
      <t xml:space="preserve">Код видов расходов </t>
    </r>
    <r>
      <rPr>
        <u val="single"/>
        <sz val="10"/>
        <color indexed="8"/>
        <rFont val="Times New Roman"/>
        <family val="1"/>
      </rPr>
      <t>119</t>
    </r>
  </si>
  <si>
    <t xml:space="preserve">1.2.  Расчеты (обоснования) выплат персоналу </t>
  </si>
  <si>
    <t>1.3.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</si>
  <si>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2. Расчет (обоснование) расходов на уплату налогов, сборов и иных платежей (строка 230)</t>
  </si>
  <si>
    <t>2.1. Расчет (обоснование) расходов на уплату налогов, сборов и иных платежей</t>
  </si>
  <si>
    <r>
      <t xml:space="preserve">Код видов расходов  </t>
    </r>
    <r>
      <rPr>
        <u val="single"/>
        <sz val="10"/>
        <color indexed="8"/>
        <rFont val="Times New Roman"/>
        <family val="1"/>
      </rPr>
      <t>852</t>
    </r>
  </si>
  <si>
    <t>2.2. Расчет (обоснование) расходов на уплату налогов, сборов и иных платежей</t>
  </si>
  <si>
    <r>
      <t xml:space="preserve">Код видов расходов  </t>
    </r>
    <r>
      <rPr>
        <u val="single"/>
        <sz val="10"/>
        <color indexed="8"/>
        <rFont val="Times New Roman"/>
        <family val="1"/>
      </rPr>
      <t>853</t>
    </r>
  </si>
  <si>
    <t>2.3. Расчет (обоснование) расходов на уплату сборов и иных платежей</t>
  </si>
  <si>
    <t>3.Расчет (обоснование) расходов на закупку товаров, работ, услуг (строка 260)</t>
  </si>
  <si>
    <t>3.1. Расчет (обоснование) расходов на оплату услуг связи</t>
  </si>
  <si>
    <t>точка</t>
  </si>
  <si>
    <t>3.2. Расчет (обоснование) расходов на оплату коммунальных услуг</t>
  </si>
  <si>
    <t>3.3. Расчет (обоснование) расходов на оплату работ, услуг по содержанию имущества</t>
  </si>
  <si>
    <t>3.4. Расчет (обоснование) расходов на оплату прочих работ, услуг</t>
  </si>
  <si>
    <t>3.5 Расчет (обоснование) расходов на приобретение основных средств</t>
  </si>
  <si>
    <t>3.5. 1.Расчет (обоснование) расходов на приобретение основных средств (прочие)</t>
  </si>
  <si>
    <t>3.5. 2.Расчет (обоснование) расходов на приобретение основных средств (мебель и оборудование)</t>
  </si>
  <si>
    <t xml:space="preserve">3.6. Расчет (обоснование) расходов на приобретение  материальных запасов </t>
  </si>
  <si>
    <t>3.6.1 Расчет (обоснование) расходов на приобретение  материальных запасов (прочие)</t>
  </si>
  <si>
    <t>3.6.2 Расчет (обоснование) расходов на приобретение  материальных запасов (продукты питания)</t>
  </si>
  <si>
    <t>1.Расчет (обоснование) расходов на закупку товаров, работ, услуг (строка 260)</t>
  </si>
  <si>
    <t>1.1. Расчет (обоснование) расходов на приобретение  материальных запасов (прочие)</t>
  </si>
  <si>
    <t>1.1 Расчет (обоснование) расходов на оплату прочих работ, услуг (Капитальный ремонт)</t>
  </si>
  <si>
    <t>1.2 Расчет (обоснование) расходов на оплату работ, услуг по содержанию имущества (Капитальный ремонт)</t>
  </si>
  <si>
    <t>1.3. Расчет (обоснование) расходов на оплату работ, услуг по содержанию имущества</t>
  </si>
  <si>
    <t>1.4. Расчет (обоснование) расходов на оплату прочих работ, услуг</t>
  </si>
  <si>
    <t>1.5 Расчет (обоснование) расходов на приобретение основных средств</t>
  </si>
  <si>
    <t>Предоставление общедоступного бесплатного дошкольного образования</t>
  </si>
  <si>
    <t>Услуги по текущему обслуживанию системы передачи сигнала "Стрелец"</t>
  </si>
  <si>
    <t xml:space="preserve">Услуги по замене запасных частей санитарно-технических систем, электрических сетей и электрооборудования  зданий и сооружений </t>
  </si>
  <si>
    <t>в том числе кредиторская задолженность 2016г.</t>
  </si>
  <si>
    <t>Услуги в области защиты информации</t>
  </si>
  <si>
    <t>Приобретение неисключительных (пользовательских),  лицензионных прав на программное обеспечение (право использования программы для ЭВМ "Контур-Экстерн" по тарифному плану "ЮЛ Бюджетник"-продление )</t>
  </si>
  <si>
    <t>Комплекс интерактивных игр</t>
  </si>
  <si>
    <t xml:space="preserve">Краски акварельные не менее 12  цв пластик упак. </t>
  </si>
  <si>
    <t>Альбом для рисования не менее 24 л</t>
  </si>
  <si>
    <t>Бумага для офисной техники пачка не менее 500л</t>
  </si>
  <si>
    <t xml:space="preserve">Бумага цветная для офисной техники цветная не менее 250 л 5 цветов </t>
  </si>
  <si>
    <t xml:space="preserve"> Перфорированная бумага не менее 420мм  не менее 1500л/уп</t>
  </si>
  <si>
    <t>Бумага цветная односторонняя Не менее 16 листов и 8 цветов в наборе</t>
  </si>
  <si>
    <t>Краски гуашевые Не менее 6 цветов в наборе, объем баночки не менее 10мл</t>
  </si>
  <si>
    <t>Карандаш чернографитовый без ластика, пластик НВ</t>
  </si>
  <si>
    <t>Набор карандашей цветных Не менее 18 цветов в наборе, длина карандаша не менее 175мм.</t>
  </si>
  <si>
    <t>Картон цветной Не менее 16л и 8 цветов, в наборе</t>
  </si>
  <si>
    <t>Картон белый не менее 10 листов в наб.</t>
  </si>
  <si>
    <t>Клей ПВА с дозатором  Не менее 125гр</t>
  </si>
  <si>
    <t>Клей-карандаш Не менее 20 гр</t>
  </si>
  <si>
    <t>Мелки восковые не менее 12 цветов в наборе Длина  не менее 90мм</t>
  </si>
  <si>
    <t>Пластилин не менее 6 цветов в наборе, набор  не менее 120 гр.</t>
  </si>
  <si>
    <t>Кисть художественная круглая из щетины   №4/</t>
  </si>
  <si>
    <t xml:space="preserve">Кисть художественная круглая из щетины   №3/ </t>
  </si>
  <si>
    <r>
      <t xml:space="preserve">Заместитель заведующего </t>
    </r>
    <r>
      <rPr>
        <sz val="9"/>
        <rFont val="Times New Roman"/>
        <family val="1"/>
      </rPr>
      <t>по мет</t>
    </r>
    <r>
      <rPr>
        <sz val="9"/>
        <color indexed="8"/>
        <rFont val="Times New Roman"/>
        <family val="1"/>
      </rPr>
      <t xml:space="preserve">одической и воспитательной (организационной) работе </t>
    </r>
  </si>
  <si>
    <t>Музыкальные инстументы (гармошка)</t>
  </si>
  <si>
    <t>Музыкальные инстументы (металлофон)</t>
  </si>
  <si>
    <t>Поверка теплосчетчика</t>
  </si>
  <si>
    <t>на 2018 год и плановый период 2019 и 2020 годов</t>
  </si>
  <si>
    <t>Стирка прямого белья</t>
  </si>
  <si>
    <t>Поверка термометров сопротивления теплосчетчиков</t>
  </si>
  <si>
    <t>Обучение по ОТ и ТБ</t>
  </si>
  <si>
    <t>Губка д/мытья посуды (5шт)</t>
  </si>
  <si>
    <t>Губка д/мытья посуды (1шт)</t>
  </si>
  <si>
    <t>Средство для обратотки яиц "Ника-2"</t>
  </si>
  <si>
    <t>Мешки д/мусора 30л (30шт)</t>
  </si>
  <si>
    <t>Мешки д/мусора 120л (10шт в уп)</t>
  </si>
  <si>
    <t>Грабли</t>
  </si>
  <si>
    <t>Швабра деревянная</t>
  </si>
  <si>
    <t>Ведро пластик</t>
  </si>
  <si>
    <t>папка скоросшиватель пластик (с пружинным)</t>
  </si>
  <si>
    <t>Карточка-справка</t>
  </si>
  <si>
    <t>замок врезной</t>
  </si>
  <si>
    <t>замок навесной</t>
  </si>
  <si>
    <t>замок кодовый</t>
  </si>
  <si>
    <t>Триммер</t>
  </si>
  <si>
    <t>Устройство МФУ</t>
  </si>
  <si>
    <t>Компьютер</t>
  </si>
  <si>
    <t>Мрот 01.07.2016</t>
  </si>
  <si>
    <t>Мрот 01.01.2017</t>
  </si>
  <si>
    <t>Мрот 01.07.2017</t>
  </si>
  <si>
    <t>Разн</t>
  </si>
  <si>
    <t>Итого за счет средств местного бюджета:</t>
  </si>
  <si>
    <t xml:space="preserve"> Показатели по поступлениям и выплатам учреждения 'на 2020 год  </t>
  </si>
  <si>
    <t xml:space="preserve">"_____"________ 20___ г </t>
  </si>
  <si>
    <t>Сейф для хранения персональных данных</t>
  </si>
  <si>
    <t>клей-карандаш</t>
  </si>
  <si>
    <t>клей ПВА</t>
  </si>
  <si>
    <t>Ручка шариковая</t>
  </si>
  <si>
    <t>Папка-регистратор</t>
  </si>
  <si>
    <t>Ручка гелевая</t>
  </si>
  <si>
    <t>Скобы для степлера № 10</t>
  </si>
  <si>
    <t>Скобы для степлера № 24</t>
  </si>
  <si>
    <t xml:space="preserve">Корректор </t>
  </si>
  <si>
    <t>Папка-дело</t>
  </si>
  <si>
    <t>Лоток вертикальный</t>
  </si>
  <si>
    <t>Унитаз</t>
  </si>
  <si>
    <t>Раковина</t>
  </si>
  <si>
    <t>Смеситель детский</t>
  </si>
  <si>
    <t>Комплект постельного белья</t>
  </si>
  <si>
    <t>Полотенце вафельное</t>
  </si>
  <si>
    <t>Елена Викторовна Осипчук</t>
  </si>
  <si>
    <t xml:space="preserve">Доска интерактивная </t>
  </si>
  <si>
    <t xml:space="preserve">Проектор </t>
  </si>
  <si>
    <t xml:space="preserve">Ноутбук </t>
  </si>
  <si>
    <t>Конструктор Мультистрой</t>
  </si>
  <si>
    <t>Стол игровой ландшафтный</t>
  </si>
  <si>
    <t>Конструктор деревянный</t>
  </si>
  <si>
    <t>Развивающие игры (сказки)</t>
  </si>
  <si>
    <t>Конструктор Лего дупло</t>
  </si>
  <si>
    <t>Итого за счет средств областного бюджета дотация  местным бюджетам:</t>
  </si>
  <si>
    <t>Установка протипопожарного люка по адресу ул. Советская, 2а</t>
  </si>
  <si>
    <t>Шкаф детский</t>
  </si>
  <si>
    <t>Стол детский</t>
  </si>
  <si>
    <t>Стул детский</t>
  </si>
  <si>
    <t>- консультирование специалистами Учреждения;</t>
  </si>
  <si>
    <t>- предоставление помещений для проведения мероприятий социально-культурного характера, работы семинаров, творческих объединений и проведения прочих занятий для педагогов города.</t>
  </si>
  <si>
    <t>5. Общая балансовая стоимость движимого муниципального имущества                                                                                                    8 314 912, 68 руб.</t>
  </si>
  <si>
    <t xml:space="preserve">                   на 01 октября 2017 года</t>
  </si>
  <si>
    <t>на 2018 г. очередной финансовый год</t>
  </si>
  <si>
    <t>на 2019 г.        1-ый год планового периода</t>
  </si>
  <si>
    <t>на 2020 г.            2-ой год планового периода</t>
  </si>
  <si>
    <t>на 2019 г.            1-ый год планового периода</t>
  </si>
  <si>
    <t>Приложение к плану финансово-хозяйственной деятельности № 3</t>
  </si>
  <si>
    <t>"_08__"  _декабря__2017 г.</t>
  </si>
  <si>
    <r>
      <rPr>
        <u val="single"/>
        <sz val="11"/>
        <rFont val="Times New Roman"/>
        <family val="1"/>
      </rPr>
      <t>"08" декабря   2017 г</t>
    </r>
    <r>
      <rPr>
        <sz val="11"/>
        <rFont val="Times New Roman"/>
        <family val="1"/>
      </rPr>
      <t xml:space="preserve">. </t>
    </r>
  </si>
  <si>
    <t>Наименование ГРБС</t>
  </si>
  <si>
    <t>Адрес фактического местонахождения муниципального  учреждения</t>
  </si>
  <si>
    <t>456080, Челябинская область, г.Трехгорный, ул. Калинина, д.16а, ул. Кирова, д.15а, ул. Советская, д.2, ул. Советская, д. 4а</t>
  </si>
  <si>
    <t xml:space="preserve">        Показатели финансового состояния учреждения </t>
  </si>
  <si>
    <t xml:space="preserve"> Показатели по поступлениям и выплатам учреждения 'на 2018 год  по состоянию на "08" декабря 2017 года</t>
  </si>
  <si>
    <t>на _08_ декабря 2017 г.</t>
  </si>
  <si>
    <t>на 08 декабря 2017 г.</t>
  </si>
  <si>
    <t>Расчеты (обоснования) к плану финансово-хозяйственной деятельности муниципального учреждения по состоянию на "_08_" декабря_ 2017г.</t>
  </si>
  <si>
    <t>Фонд оплаты труда в год, руб. (гр. 3 x гр. 4) + гр. 8) x 12)</t>
  </si>
  <si>
    <t>1.1.17.</t>
  </si>
  <si>
    <t>1.1.16</t>
  </si>
  <si>
    <t>в том числе кредиторская задолженность 2017г.</t>
  </si>
  <si>
    <t>Фактическое потребление 2017 года</t>
  </si>
  <si>
    <t>Ремонт и техническое обслуживание системы видеонаблюдения</t>
  </si>
  <si>
    <t>Расходные материалы для лаборатории (пробирки)</t>
  </si>
  <si>
    <t>Расходные материалы для лаборатории (колбы)</t>
  </si>
  <si>
    <t>Стоимость  питания  одного  дня для воспитанников в возрасте   до  3   лет (приказ Управления образования от 15.09.2017 г. № 177 "ОД")</t>
  </si>
  <si>
    <t>Стоимость  питания  одного  дня для воспитанников в возрасте  с  3   до  7   лет (приказ Управления образования от 15.09.2017 г. № 177 "ОД")</t>
  </si>
  <si>
    <t>Стоимость  питания  одного  дня для воспитанников в возрасте  с  3   до  7   лет  (приказ Управления образования от 15.09.2017 г. № 177 "ОД")</t>
  </si>
  <si>
    <t>"Поддержка и развитие дошкольного образования в городе Трехгорном" на 2017-2020 годы"</t>
  </si>
  <si>
    <t>1.</t>
  </si>
  <si>
    <t>"Обеспечение доступности дошкольного образования на 2017-2020 годы"</t>
  </si>
  <si>
    <t>Приложение к плану финансово-хозяйственной деятельности  № 2</t>
  </si>
  <si>
    <t>Расчеты (обоснования) к плану финансово-хозяйственной деятельности муниципального учреждения по состоянию на "_08_" _декабря_ 2017г.</t>
  </si>
  <si>
    <t>Расчеты (обоснования) к плану финансово-хозяйственной деятельности муниципального учреждения по состоянию на "_08_"__декабря_ 2017г.</t>
  </si>
  <si>
    <t>Капитальный ремонт здания № 2 по ул. Кирова, 15А.</t>
  </si>
  <si>
    <t>"Капитальный ремонт зданий дошкольных образовательных учреждений"</t>
  </si>
  <si>
    <t>"Обновление материально-технической базы, приобретение технологического, кухонного и другого оборудования, мебели и инвентаря для ДОО"</t>
  </si>
  <si>
    <t>Кухонный инвентарь (кострюли, баки)</t>
  </si>
  <si>
    <t>Скамья для шкафа детского</t>
  </si>
  <si>
    <t>"Развитие инфраструктуры дошкольных образовательных организаций на 2017-2020 годы"</t>
  </si>
  <si>
    <t xml:space="preserve"> - обучение по дополнительным общеразвивающим программам;                                                                                                                                           - создание групп по адаптации детей к условиям школьной жизни (до поступления в школу, если ребенок не посещал дошкольное  образовательное учреждение);
- создание групп адаптационного пребывания  детей раннего возраста (от 2 месяцев до 1 года) не более 2-х часов;
- организация и проведение различных мероприятий;
- обучение детей основам изобразительной деятельности;
- обучение детей театральной деятельности;
- организация репетиторства; 
- организация курсов по изучению иностранных языков;
- организация курсов по изучению информационно-коммуникационных технологий;
- организация кружков: по познавательно-исследовательской деятельности, по обучению игре на музыкальных инструментах, фотографированию, кино-, видео-, кройке и шитью, вязанию, танцам;
- организация деятельности в студии детского оркестра;
- организация деятельности в кружке декоративно-прикладного творчества;
- организация деятельности в кружке интеллектуального развития «Все по полочкам»;
- организация деятельности «Школа активного родителя»;
- организация дополнительной индивидуальной коррекционно-развивающей деятельности с учителем-логопедом;
- организация дополнительной индивидуальной коррекционно-развивающей деятельности с педагогом-психологом;
- создание различных секций, групп по укреплению здоровья (гимнастика, плавание, аэробика, ритмика, катание на коньках, лыжах, различные игры, общефизическая подготовка);
- создание различных студий, групп, школ, факультативов по обучению и приобщению детей к знанию мировой культуры, живописи, графики, скульптуры, народных промыслов и т. д. 
- услуги оздоровительного характера;
- ксерокопирование, сканирование;
- пошив изделий;</t>
  </si>
  <si>
    <t xml:space="preserve">1. Основные цели деятельности Учреждени                                                                                                                                                                                                  * образовательная деятельность по образовательным программам дошкольного образования, при этом освоение образовательных программ дошкольного образования не сопровождается проведением промежуточных аттестаций и итоговой аттестации воспитанников:
- разностороннее развитие детей дошкольного возраста с учетом их возрастных и индивидуальных особенностей, в том числе достижение детьми дошкольного возраста уровня развития, необходимого и достаточного для успешного освоения ими образовательных программ начального общего образования, на основе индивидуального подхода к детям дошкольного возраста и специфичных для детей дошкольного возраста видов деятельности;
- формирование общей культуры личности воспитанников на основе усвоения федеральных государственных образовательных стандартов общего образования, а также общеобразовательных программ;
- развитие физических, интеллектуальных, нравственных, эстетических и личностных качеств, 
- формирование предпосылок учебной деятельности, сохранение и укрепление здоровья детей дошкольного возраста;
- обеспечение необходимых условий для личностного развития, укрепления здоровья, формирования здорового образа жизни;
- воспитание гражданственности, трудолюбия, уважения к правам и свободам человека, любви к окружающей природе, Родине, семье;
- реализация прав воспитанников на образование, осуществление гарантий общедоступности и бесплатности образования;
* присмотр и уход за детьми: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обеспечение условий по организации питания и хозяйственно-бытового обслуживания детей, обеспечение соблюдения ими личной гигиены и режима дня.                                </t>
  </si>
  <si>
    <t>Лимиты (Постановление от  30.08.2017 № 1030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</si>
</sst>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-* #,##0.0_р_._-;\-* #,##0.0_р_._-;_-* &quot;-&quot;?_р_._-;_-@_-"/>
    <numFmt numFmtId="197" formatCode="#,##0_ ;\-#,##0\ "/>
    <numFmt numFmtId="198" formatCode="#,##0.00_ ;\-#,##0.00\ "/>
    <numFmt numFmtId="199" formatCode="#,##0.000"/>
    <numFmt numFmtId="200" formatCode="#,##0.0_ ;\-#,##0.0\ "/>
    <numFmt numFmtId="201" formatCode="_-* #,##0.00\ _р_._-;\-* #,##0.00\ _р_._-;_-* &quot;-&quot;??\ _р_._-;_-@_-"/>
    <numFmt numFmtId="202" formatCode="_-* #,##0.0\ _р_._-;\-* #,##0.0\ _р_._-;_-* &quot;-&quot;??\ _р_._-;_-@_-"/>
    <numFmt numFmtId="203" formatCode="0.0000"/>
    <numFmt numFmtId="204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.5"/>
      <color indexed="12"/>
      <name val="Times New Roman"/>
      <family val="1"/>
    </font>
    <font>
      <sz val="10.5"/>
      <color indexed="2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sz val="10.5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0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shrinkToFit="1"/>
    </xf>
    <xf numFmtId="4" fontId="8" fillId="0" borderId="16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wrapText="1"/>
    </xf>
    <xf numFmtId="172" fontId="8" fillId="0" borderId="0" xfId="0" applyNumberFormat="1" applyFont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" fontId="7" fillId="0" borderId="19" xfId="0" applyNumberFormat="1" applyFont="1" applyBorder="1" applyAlignment="1">
      <alignment wrapText="1"/>
    </xf>
    <xf numFmtId="4" fontId="7" fillId="0" borderId="2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shrinkToFit="1"/>
    </xf>
    <xf numFmtId="4" fontId="7" fillId="0" borderId="20" xfId="0" applyNumberFormat="1" applyFont="1" applyFill="1" applyBorder="1" applyAlignment="1">
      <alignment shrinkToFit="1"/>
    </xf>
    <xf numFmtId="4" fontId="7" fillId="0" borderId="12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shrinkToFit="1"/>
    </xf>
    <xf numFmtId="4" fontId="8" fillId="0" borderId="12" xfId="0" applyNumberFormat="1" applyFont="1" applyFill="1" applyBorder="1" applyAlignment="1">
      <alignment shrinkToFit="1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wrapText="1"/>
    </xf>
    <xf numFmtId="4" fontId="7" fillId="0" borderId="10" xfId="0" applyNumberFormat="1" applyFont="1" applyFill="1" applyBorder="1" applyAlignment="1">
      <alignment shrinkToFit="1"/>
    </xf>
    <xf numFmtId="4" fontId="7" fillId="0" borderId="12" xfId="0" applyNumberFormat="1" applyFont="1" applyFill="1" applyBorder="1" applyAlignment="1">
      <alignment shrinkToFit="1"/>
    </xf>
    <xf numFmtId="4" fontId="10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4" fontId="8" fillId="0" borderId="12" xfId="0" applyNumberFormat="1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3" fontId="7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3" fillId="0" borderId="0" xfId="55" applyFont="1">
      <alignment/>
      <protection/>
    </xf>
    <xf numFmtId="0" fontId="2" fillId="0" borderId="0" xfId="55" applyFont="1" applyAlignment="1">
      <alignment horizontal="right" vertical="center"/>
      <protection/>
    </xf>
    <xf numFmtId="0" fontId="1" fillId="0" borderId="0" xfId="55">
      <alignment/>
      <protection/>
    </xf>
    <xf numFmtId="0" fontId="2" fillId="0" borderId="0" xfId="55" applyFont="1" applyAlignment="1">
      <alignment horizontal="justify" vertical="center"/>
      <protection/>
    </xf>
    <xf numFmtId="0" fontId="2" fillId="0" borderId="17" xfId="55" applyFont="1" applyBorder="1" applyAlignment="1">
      <alignment horizontal="left" vertical="center" wrapText="1" indent="2"/>
      <protection/>
    </xf>
    <xf numFmtId="0" fontId="2" fillId="0" borderId="28" xfId="55" applyFont="1" applyBorder="1" applyAlignment="1">
      <alignment vertical="center" wrapText="1"/>
      <protection/>
    </xf>
    <xf numFmtId="0" fontId="2" fillId="0" borderId="13" xfId="55" applyFont="1" applyBorder="1" applyAlignment="1">
      <alignment horizontal="left" vertical="center" wrapText="1" indent="4"/>
      <protection/>
    </xf>
    <xf numFmtId="0" fontId="2" fillId="0" borderId="10" xfId="55" applyFont="1" applyBorder="1" applyAlignment="1">
      <alignment horizontal="left" vertical="center" wrapText="1" indent="3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vertical="center" wrapText="1" indent="6"/>
      <protection/>
    </xf>
    <xf numFmtId="0" fontId="2" fillId="0" borderId="10" xfId="55" applyFont="1" applyBorder="1" applyAlignment="1">
      <alignment horizontal="left" vertical="center" wrapText="1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 wrapText="1"/>
    </xf>
    <xf numFmtId="0" fontId="23" fillId="0" borderId="30" xfId="0" applyFont="1" applyBorder="1" applyAlignment="1">
      <alignment horizontal="right" wrapText="1"/>
    </xf>
    <xf numFmtId="0" fontId="23" fillId="0" borderId="3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23" fillId="0" borderId="30" xfId="0" applyFont="1" applyBorder="1" applyAlignment="1">
      <alignment vertical="top" wrapText="1"/>
    </xf>
    <xf numFmtId="0" fontId="23" fillId="0" borderId="31" xfId="0" applyFont="1" applyBorder="1" applyAlignment="1">
      <alignment horizontal="right" wrapText="1"/>
    </xf>
    <xf numFmtId="0" fontId="23" fillId="0" borderId="32" xfId="0" applyFont="1" applyBorder="1" applyAlignment="1">
      <alignment vertical="top" wrapText="1"/>
    </xf>
    <xf numFmtId="0" fontId="25" fillId="0" borderId="0" xfId="0" applyFont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30" xfId="0" applyFont="1" applyBorder="1" applyAlignment="1" quotePrefix="1">
      <alignment horizontal="center" vertical="center" wrapText="1"/>
    </xf>
    <xf numFmtId="0" fontId="23" fillId="0" borderId="29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23" fillId="0" borderId="30" xfId="0" applyFont="1" applyBorder="1" applyAlignment="1">
      <alignment horizontal="left" wrapText="1"/>
    </xf>
    <xf numFmtId="0" fontId="23" fillId="0" borderId="30" xfId="0" applyFont="1" applyBorder="1" applyAlignment="1" quotePrefix="1">
      <alignment horizontal="lef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30" xfId="0" applyFont="1" applyBorder="1" applyAlignment="1" quotePrefix="1">
      <alignment horizontal="right" wrapText="1"/>
    </xf>
    <xf numFmtId="0" fontId="23" fillId="0" borderId="31" xfId="0" applyFont="1" applyBorder="1" applyAlignment="1">
      <alignment horizontal="left" wrapText="1"/>
    </xf>
    <xf numFmtId="0" fontId="23" fillId="0" borderId="32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3" fillId="0" borderId="10" xfId="0" applyFont="1" applyBorder="1" applyAlignment="1" quotePrefix="1">
      <alignment horizontal="left" wrapText="1"/>
    </xf>
    <xf numFmtId="0" fontId="23" fillId="0" borderId="10" xfId="0" applyFont="1" applyBorder="1" applyAlignment="1" quotePrefix="1">
      <alignment horizontal="right" wrapText="1"/>
    </xf>
    <xf numFmtId="0" fontId="7" fillId="0" borderId="16" xfId="0" applyFont="1" applyFill="1" applyBorder="1" applyAlignment="1" quotePrefix="1">
      <alignment horizontal="left" wrapText="1"/>
    </xf>
    <xf numFmtId="0" fontId="8" fillId="0" borderId="0" xfId="0" applyFont="1" applyBorder="1" applyAlignment="1" quotePrefix="1">
      <alignment horizontal="center" wrapText="1"/>
    </xf>
    <xf numFmtId="0" fontId="8" fillId="0" borderId="0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right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/>
    </xf>
    <xf numFmtId="0" fontId="0" fillId="0" borderId="0" xfId="0" applyAlignment="1">
      <alignment horizontal="left"/>
    </xf>
    <xf numFmtId="4" fontId="23" fillId="0" borderId="30" xfId="0" applyNumberFormat="1" applyFont="1" applyBorder="1" applyAlignment="1">
      <alignment horizontal="right" wrapText="1"/>
    </xf>
    <xf numFmtId="0" fontId="23" fillId="0" borderId="29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wrapText="1"/>
    </xf>
    <xf numFmtId="4" fontId="23" fillId="0" borderId="30" xfId="0" applyNumberFormat="1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4" fontId="24" fillId="0" borderId="30" xfId="0" applyNumberFormat="1" applyFont="1" applyFill="1" applyBorder="1" applyAlignment="1">
      <alignment wrapText="1"/>
    </xf>
    <xf numFmtId="4" fontId="23" fillId="0" borderId="30" xfId="0" applyNumberFormat="1" applyFont="1" applyBorder="1" applyAlignment="1">
      <alignment wrapText="1"/>
    </xf>
    <xf numFmtId="4" fontId="70" fillId="0" borderId="10" xfId="0" applyNumberFormat="1" applyFont="1" applyFill="1" applyBorder="1" applyAlignment="1">
      <alignment horizontal="center" vertical="center" wrapText="1"/>
    </xf>
    <xf numFmtId="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wrapText="1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70" fillId="0" borderId="10" xfId="0" applyFont="1" applyFill="1" applyBorder="1" applyAlignment="1">
      <alignment vertical="center" wrapText="1"/>
    </xf>
    <xf numFmtId="0" fontId="24" fillId="0" borderId="30" xfId="0" applyFont="1" applyBorder="1" applyAlignment="1">
      <alignment horizontal="right" wrapText="1"/>
    </xf>
    <xf numFmtId="0" fontId="24" fillId="0" borderId="30" xfId="0" applyFont="1" applyBorder="1" applyAlignment="1">
      <alignment wrapText="1"/>
    </xf>
    <xf numFmtId="4" fontId="24" fillId="0" borderId="30" xfId="0" applyNumberFormat="1" applyFont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23" fillId="0" borderId="31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4" fontId="25" fillId="0" borderId="0" xfId="0" applyNumberFormat="1" applyFont="1" applyAlignment="1">
      <alignment/>
    </xf>
    <xf numFmtId="0" fontId="24" fillId="0" borderId="10" xfId="0" applyFont="1" applyBorder="1" applyAlignment="1">
      <alignment horizontal="right" wrapText="1"/>
    </xf>
    <xf numFmtId="4" fontId="24" fillId="0" borderId="10" xfId="0" applyNumberFormat="1" applyFont="1" applyBorder="1" applyAlignment="1">
      <alignment wrapText="1"/>
    </xf>
    <xf numFmtId="4" fontId="24" fillId="0" borderId="30" xfId="0" applyNumberFormat="1" applyFont="1" applyBorder="1" applyAlignment="1">
      <alignment wrapText="1"/>
    </xf>
    <xf numFmtId="4" fontId="23" fillId="0" borderId="3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right" wrapText="1"/>
    </xf>
    <xf numFmtId="0" fontId="24" fillId="0" borderId="0" xfId="0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right" wrapText="1"/>
    </xf>
    <xf numFmtId="4" fontId="23" fillId="0" borderId="31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0" fontId="23" fillId="0" borderId="33" xfId="0" applyFont="1" applyBorder="1" applyAlignment="1">
      <alignment horizontal="right" wrapText="1"/>
    </xf>
    <xf numFmtId="4" fontId="23" fillId="0" borderId="29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4" fillId="0" borderId="30" xfId="0" applyFont="1" applyBorder="1" applyAlignment="1">
      <alignment horizontal="left" wrapText="1"/>
    </xf>
    <xf numFmtId="0" fontId="24" fillId="0" borderId="33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6" fillId="33" borderId="0" xfId="0" applyFont="1" applyFill="1" applyAlignment="1">
      <alignment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6" borderId="0" xfId="0" applyFont="1" applyFill="1" applyAlignment="1">
      <alignment/>
    </xf>
    <xf numFmtId="0" fontId="26" fillId="37" borderId="0" xfId="0" applyFont="1" applyFill="1" applyAlignment="1">
      <alignment/>
    </xf>
    <xf numFmtId="0" fontId="26" fillId="38" borderId="0" xfId="0" applyFont="1" applyFill="1" applyAlignment="1">
      <alignment/>
    </xf>
    <xf numFmtId="4" fontId="0" fillId="0" borderId="0" xfId="0" applyNumberFormat="1" applyAlignment="1">
      <alignment/>
    </xf>
    <xf numFmtId="0" fontId="23" fillId="0" borderId="30" xfId="0" applyFont="1" applyBorder="1" applyAlignment="1">
      <alignment horizontal="right" vertical="center" wrapText="1"/>
    </xf>
    <xf numFmtId="2" fontId="23" fillId="0" borderId="30" xfId="0" applyNumberFormat="1" applyFont="1" applyBorder="1" applyAlignment="1">
      <alignment wrapText="1"/>
    </xf>
    <xf numFmtId="4" fontId="23" fillId="0" borderId="32" xfId="0" applyNumberFormat="1" applyFont="1" applyBorder="1" applyAlignment="1">
      <alignment wrapText="1"/>
    </xf>
    <xf numFmtId="2" fontId="23" fillId="0" borderId="30" xfId="0" applyNumberFormat="1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4" fontId="23" fillId="0" borderId="32" xfId="0" applyNumberFormat="1" applyFont="1" applyBorder="1" applyAlignment="1">
      <alignment horizontal="right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33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39" borderId="10" xfId="54" applyFont="1" applyFill="1" applyBorder="1" applyAlignment="1">
      <alignment vertical="center" wrapText="1"/>
      <protection/>
    </xf>
    <xf numFmtId="0" fontId="29" fillId="39" borderId="10" xfId="54" applyFont="1" applyFill="1" applyBorder="1" applyAlignment="1">
      <alignment vertical="center" wrapText="1"/>
      <protection/>
    </xf>
    <xf numFmtId="173" fontId="24" fillId="0" borderId="30" xfId="0" applyNumberFormat="1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173" fontId="24" fillId="0" borderId="10" xfId="0" applyNumberFormat="1" applyFont="1" applyBorder="1" applyAlignment="1">
      <alignment horizontal="center" wrapText="1"/>
    </xf>
    <xf numFmtId="0" fontId="29" fillId="39" borderId="0" xfId="54" applyFont="1" applyFill="1" applyBorder="1" applyAlignment="1">
      <alignment horizontal="right" vertical="center" wrapText="1"/>
      <protection/>
    </xf>
    <xf numFmtId="173" fontId="23" fillId="0" borderId="30" xfId="0" applyNumberFormat="1" applyFont="1" applyBorder="1" applyAlignment="1">
      <alignment horizontal="center" wrapText="1"/>
    </xf>
    <xf numFmtId="173" fontId="23" fillId="0" borderId="10" xfId="0" applyNumberFormat="1" applyFont="1" applyBorder="1" applyAlignment="1">
      <alignment horizontal="center" wrapText="1"/>
    </xf>
    <xf numFmtId="173" fontId="24" fillId="0" borderId="33" xfId="0" applyNumberFormat="1" applyFont="1" applyBorder="1" applyAlignment="1">
      <alignment wrapText="1"/>
    </xf>
    <xf numFmtId="190" fontId="23" fillId="0" borderId="30" xfId="0" applyNumberFormat="1" applyFont="1" applyBorder="1" applyAlignment="1">
      <alignment horizontal="center" wrapText="1"/>
    </xf>
    <xf numFmtId="4" fontId="24" fillId="0" borderId="0" xfId="0" applyNumberFormat="1" applyFont="1" applyFill="1" applyBorder="1" applyAlignment="1">
      <alignment wrapText="1"/>
    </xf>
    <xf numFmtId="2" fontId="24" fillId="0" borderId="3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30" xfId="0" applyFont="1" applyBorder="1" applyAlignment="1" quotePrefix="1">
      <alignment wrapText="1"/>
    </xf>
    <xf numFmtId="2" fontId="24" fillId="0" borderId="0" xfId="0" applyNumberFormat="1" applyFont="1" applyBorder="1" applyAlignment="1">
      <alignment wrapText="1"/>
    </xf>
    <xf numFmtId="2" fontId="32" fillId="0" borderId="0" xfId="0" applyNumberFormat="1" applyFont="1" applyAlignment="1">
      <alignment horizontal="center" wrapText="1"/>
    </xf>
    <xf numFmtId="14" fontId="24" fillId="0" borderId="0" xfId="0" applyNumberFormat="1" applyFont="1" applyFill="1" applyAlignment="1">
      <alignment horizontal="left" wrapText="1"/>
    </xf>
    <xf numFmtId="2" fontId="23" fillId="0" borderId="33" xfId="0" applyNumberFormat="1" applyFont="1" applyBorder="1" applyAlignment="1">
      <alignment wrapText="1"/>
    </xf>
    <xf numFmtId="2" fontId="24" fillId="0" borderId="33" xfId="0" applyNumberFormat="1" applyFont="1" applyBorder="1" applyAlignment="1">
      <alignment wrapText="1"/>
    </xf>
    <xf numFmtId="2" fontId="23" fillId="0" borderId="33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33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6" fillId="0" borderId="0" xfId="0" applyFont="1" applyAlignment="1">
      <alignment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4" fillId="0" borderId="30" xfId="0" applyFont="1" applyFill="1" applyBorder="1" applyAlignment="1">
      <alignment horizontal="right" wrapText="1"/>
    </xf>
    <xf numFmtId="0" fontId="24" fillId="0" borderId="30" xfId="0" applyFont="1" applyFill="1" applyBorder="1" applyAlignment="1">
      <alignment horizontal="left" wrapText="1"/>
    </xf>
    <xf numFmtId="0" fontId="24" fillId="0" borderId="30" xfId="0" applyFont="1" applyFill="1" applyBorder="1" applyAlignment="1">
      <alignment horizontal="center" wrapText="1"/>
    </xf>
    <xf numFmtId="0" fontId="24" fillId="0" borderId="33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3" fillId="0" borderId="30" xfId="0" applyFont="1" applyFill="1" applyBorder="1" applyAlignment="1">
      <alignment horizontal="right" wrapText="1"/>
    </xf>
    <xf numFmtId="0" fontId="23" fillId="0" borderId="10" xfId="54" applyFont="1" applyFill="1" applyBorder="1" applyAlignment="1">
      <alignment vertical="center" wrapText="1"/>
      <protection/>
    </xf>
    <xf numFmtId="4" fontId="23" fillId="0" borderId="30" xfId="0" applyNumberFormat="1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/>
    </xf>
    <xf numFmtId="0" fontId="29" fillId="0" borderId="10" xfId="54" applyFont="1" applyFill="1" applyBorder="1" applyAlignment="1">
      <alignment vertical="center" wrapText="1"/>
      <protection/>
    </xf>
    <xf numFmtId="4" fontId="24" fillId="0" borderId="30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0" fontId="23" fillId="0" borderId="33" xfId="0" applyFont="1" applyFill="1" applyBorder="1" applyAlignment="1">
      <alignment horizontal="right" wrapText="1"/>
    </xf>
    <xf numFmtId="0" fontId="29" fillId="0" borderId="0" xfId="54" applyFont="1" applyFill="1" applyBorder="1" applyAlignment="1">
      <alignment horizontal="right" vertical="center" wrapText="1"/>
      <protection/>
    </xf>
    <xf numFmtId="0" fontId="23" fillId="0" borderId="30" xfId="0" applyFont="1" applyFill="1" applyBorder="1" applyAlignment="1">
      <alignment horizontal="left" wrapText="1"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vertical="center" wrapText="1"/>
      <protection/>
    </xf>
    <xf numFmtId="0" fontId="2" fillId="0" borderId="10" xfId="55" applyFont="1" applyBorder="1" applyAlignment="1">
      <alignment horizontal="left" vertical="center" wrapText="1" indent="4"/>
      <protection/>
    </xf>
    <xf numFmtId="0" fontId="2" fillId="0" borderId="19" xfId="55" applyFont="1" applyBorder="1" applyAlignment="1">
      <alignment horizontal="left" vertical="center" wrapText="1" indent="4"/>
      <protection/>
    </xf>
    <xf numFmtId="2" fontId="2" fillId="0" borderId="0" xfId="55" applyNumberFormat="1" applyFont="1" applyBorder="1" applyAlignment="1">
      <alignment vertical="center" wrapText="1"/>
      <protection/>
    </xf>
    <xf numFmtId="0" fontId="1" fillId="0" borderId="0" xfId="55" applyBorder="1">
      <alignment/>
      <protection/>
    </xf>
    <xf numFmtId="2" fontId="2" fillId="0" borderId="0" xfId="55" applyNumberFormat="1" applyFont="1" applyBorder="1" applyAlignment="1">
      <alignment horizontal="center" vertical="center" wrapText="1"/>
      <protection/>
    </xf>
    <xf numFmtId="0" fontId="23" fillId="0" borderId="31" xfId="0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4" fontId="24" fillId="0" borderId="33" xfId="0" applyNumberFormat="1" applyFont="1" applyBorder="1" applyAlignment="1">
      <alignment horizontal="right" wrapText="1"/>
    </xf>
    <xf numFmtId="0" fontId="23" fillId="0" borderId="33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 wrapText="1"/>
    </xf>
    <xf numFmtId="4" fontId="23" fillId="0" borderId="33" xfId="0" applyNumberFormat="1" applyFont="1" applyFill="1" applyBorder="1" applyAlignment="1">
      <alignment horizontal="right" wrapText="1"/>
    </xf>
    <xf numFmtId="0" fontId="23" fillId="0" borderId="32" xfId="0" applyFont="1" applyFill="1" applyBorder="1" applyAlignment="1">
      <alignment horizontal="center" wrapText="1"/>
    </xf>
    <xf numFmtId="4" fontId="23" fillId="0" borderId="10" xfId="0" applyNumberFormat="1" applyFont="1" applyFill="1" applyBorder="1" applyAlignment="1">
      <alignment horizontal="right" wrapText="1"/>
    </xf>
    <xf numFmtId="2" fontId="23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right" wrapText="1"/>
    </xf>
    <xf numFmtId="4" fontId="22" fillId="0" borderId="10" xfId="0" applyNumberFormat="1" applyFont="1" applyFill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wrapText="1"/>
    </xf>
    <xf numFmtId="4" fontId="23" fillId="0" borderId="33" xfId="0" applyNumberFormat="1" applyFont="1" applyBorder="1" applyAlignment="1">
      <alignment horizontal="right" wrapText="1"/>
    </xf>
    <xf numFmtId="4" fontId="24" fillId="0" borderId="33" xfId="0" applyNumberFormat="1" applyFont="1" applyFill="1" applyBorder="1" applyAlignment="1">
      <alignment horizontal="right" wrapText="1"/>
    </xf>
    <xf numFmtId="4" fontId="24" fillId="0" borderId="29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wrapText="1"/>
    </xf>
    <xf numFmtId="173" fontId="24" fillId="0" borderId="0" xfId="0" applyNumberFormat="1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2" fontId="24" fillId="0" borderId="0" xfId="0" applyNumberFormat="1" applyFont="1" applyFill="1" applyBorder="1" applyAlignment="1">
      <alignment horizontal="center" wrapText="1"/>
    </xf>
    <xf numFmtId="173" fontId="24" fillId="0" borderId="0" xfId="0" applyNumberFormat="1" applyFont="1" applyFill="1" applyBorder="1" applyAlignment="1">
      <alignment horizontal="center" wrapText="1"/>
    </xf>
    <xf numFmtId="173" fontId="23" fillId="0" borderId="0" xfId="0" applyNumberFormat="1" applyFont="1" applyBorder="1" applyAlignment="1">
      <alignment horizontal="center" wrapText="1"/>
    </xf>
    <xf numFmtId="173" fontId="24" fillId="0" borderId="0" xfId="0" applyNumberFormat="1" applyFont="1" applyBorder="1" applyAlignment="1">
      <alignment wrapText="1"/>
    </xf>
    <xf numFmtId="4" fontId="24" fillId="0" borderId="10" xfId="0" applyNumberFormat="1" applyFont="1" applyFill="1" applyBorder="1" applyAlignment="1">
      <alignment horizontal="right" wrapText="1"/>
    </xf>
    <xf numFmtId="190" fontId="23" fillId="0" borderId="10" xfId="0" applyNumberFormat="1" applyFont="1" applyBorder="1" applyAlignment="1">
      <alignment horizontal="right" wrapText="1"/>
    </xf>
    <xf numFmtId="190" fontId="24" fillId="0" borderId="10" xfId="0" applyNumberFormat="1" applyFont="1" applyBorder="1" applyAlignment="1">
      <alignment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 quotePrefix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wrapText="1"/>
    </xf>
    <xf numFmtId="2" fontId="23" fillId="0" borderId="30" xfId="0" applyNumberFormat="1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right" wrapText="1"/>
    </xf>
    <xf numFmtId="0" fontId="23" fillId="0" borderId="31" xfId="0" applyFont="1" applyFill="1" applyBorder="1" applyAlignment="1">
      <alignment horizontal="left" wrapText="1"/>
    </xf>
    <xf numFmtId="0" fontId="22" fillId="0" borderId="0" xfId="0" applyFont="1" applyFill="1" applyAlignment="1">
      <alignment horizontal="right"/>
    </xf>
    <xf numFmtId="0" fontId="23" fillId="0" borderId="3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2" fillId="0" borderId="17" xfId="0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0" fontId="22" fillId="0" borderId="17" xfId="0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173" fontId="22" fillId="0" borderId="0" xfId="0" applyNumberFormat="1" applyFont="1" applyFill="1" applyBorder="1" applyAlignment="1">
      <alignment wrapText="1"/>
    </xf>
    <xf numFmtId="0" fontId="24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16" xfId="0" applyFont="1" applyBorder="1" applyAlignment="1">
      <alignment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23" fillId="0" borderId="10" xfId="0" applyFont="1" applyBorder="1" applyAlignment="1">
      <alignment/>
    </xf>
    <xf numFmtId="16" fontId="23" fillId="0" borderId="16" xfId="0" applyNumberFormat="1" applyFont="1" applyBorder="1" applyAlignment="1">
      <alignment horizontal="right"/>
    </xf>
    <xf numFmtId="0" fontId="23" fillId="0" borderId="25" xfId="0" applyFont="1" applyBorder="1" applyAlignment="1">
      <alignment/>
    </xf>
    <xf numFmtId="0" fontId="24" fillId="0" borderId="26" xfId="0" applyFont="1" applyBorder="1" applyAlignment="1">
      <alignment horizontal="right"/>
    </xf>
    <xf numFmtId="10" fontId="22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wrapText="1"/>
    </xf>
    <xf numFmtId="0" fontId="25" fillId="0" borderId="23" xfId="0" applyFont="1" applyFill="1" applyBorder="1" applyAlignment="1">
      <alignment/>
    </xf>
    <xf numFmtId="4" fontId="25" fillId="0" borderId="24" xfId="0" applyNumberFormat="1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4" fontId="25" fillId="0" borderId="24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0" fontId="70" fillId="0" borderId="13" xfId="0" applyFont="1" applyBorder="1" applyAlignment="1">
      <alignment wrapText="1"/>
    </xf>
    <xf numFmtId="0" fontId="70" fillId="0" borderId="13" xfId="0" applyFont="1" applyFill="1" applyBorder="1" applyAlignment="1">
      <alignment vertical="center" wrapText="1"/>
    </xf>
    <xf numFmtId="4" fontId="70" fillId="0" borderId="13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2" fontId="24" fillId="0" borderId="30" xfId="0" applyNumberFormat="1" applyFont="1" applyFill="1" applyBorder="1" applyAlignment="1">
      <alignment horizontal="center" wrapText="1"/>
    </xf>
    <xf numFmtId="2" fontId="25" fillId="0" borderId="0" xfId="0" applyNumberFormat="1" applyFont="1" applyAlignment="1">
      <alignment/>
    </xf>
    <xf numFmtId="4" fontId="24" fillId="0" borderId="10" xfId="0" applyNumberFormat="1" applyFont="1" applyBorder="1" applyAlignment="1">
      <alignment/>
    </xf>
    <xf numFmtId="2" fontId="23" fillId="0" borderId="3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wrapText="1"/>
    </xf>
    <xf numFmtId="2" fontId="24" fillId="0" borderId="33" xfId="0" applyNumberFormat="1" applyFont="1" applyBorder="1" applyAlignment="1">
      <alignment horizontal="center" wrapText="1"/>
    </xf>
    <xf numFmtId="173" fontId="24" fillId="0" borderId="33" xfId="0" applyNumberFormat="1" applyFont="1" applyBorder="1" applyAlignment="1">
      <alignment horizontal="center" wrapText="1"/>
    </xf>
    <xf numFmtId="173" fontId="23" fillId="0" borderId="33" xfId="0" applyNumberFormat="1" applyFont="1" applyBorder="1" applyAlignment="1">
      <alignment horizontal="center" wrapText="1"/>
    </xf>
    <xf numFmtId="173" fontId="24" fillId="0" borderId="10" xfId="0" applyNumberFormat="1" applyFont="1" applyBorder="1" applyAlignment="1">
      <alignment wrapText="1"/>
    </xf>
    <xf numFmtId="0" fontId="23" fillId="0" borderId="0" xfId="0" applyFont="1" applyAlignment="1" quotePrefix="1">
      <alignment wrapText="1"/>
    </xf>
    <xf numFmtId="0" fontId="23" fillId="0" borderId="16" xfId="0" applyFont="1" applyBorder="1" applyAlignment="1">
      <alignment/>
    </xf>
    <xf numFmtId="4" fontId="24" fillId="0" borderId="1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4" fillId="0" borderId="26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wrapText="1"/>
    </xf>
    <xf numFmtId="4" fontId="35" fillId="0" borderId="10" xfId="0" applyNumberFormat="1" applyFont="1" applyFill="1" applyBorder="1" applyAlignment="1">
      <alignment wrapText="1"/>
    </xf>
    <xf numFmtId="4" fontId="22" fillId="0" borderId="10" xfId="0" applyNumberFormat="1" applyFont="1" applyFill="1" applyBorder="1" applyAlignment="1">
      <alignment shrinkToFit="1"/>
    </xf>
    <xf numFmtId="4" fontId="25" fillId="0" borderId="12" xfId="0" applyNumberFormat="1" applyFont="1" applyFill="1" applyBorder="1" applyAlignment="1">
      <alignment shrinkToFit="1"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wrapText="1"/>
    </xf>
    <xf numFmtId="4" fontId="22" fillId="0" borderId="17" xfId="0" applyNumberFormat="1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35" fillId="0" borderId="17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2" fillId="0" borderId="17" xfId="0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" fontId="23" fillId="0" borderId="1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23" fillId="0" borderId="33" xfId="0" applyFont="1" applyBorder="1" applyAlignment="1" quotePrefix="1">
      <alignment horizontal="left" wrapText="1"/>
    </xf>
    <xf numFmtId="0" fontId="23" fillId="0" borderId="42" xfId="0" applyFont="1" applyBorder="1" applyAlignment="1">
      <alignment wrapText="1"/>
    </xf>
    <xf numFmtId="4" fontId="7" fillId="0" borderId="14" xfId="0" applyNumberFormat="1" applyFont="1" applyBorder="1" applyAlignment="1">
      <alignment horizontal="center" vertical="center" shrinkToFit="1"/>
    </xf>
    <xf numFmtId="4" fontId="7" fillId="0" borderId="43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 shrinkToFit="1"/>
    </xf>
    <xf numFmtId="172" fontId="7" fillId="0" borderId="0" xfId="0" applyNumberFormat="1" applyFont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3" fillId="0" borderId="32" xfId="0" applyNumberFormat="1" applyFont="1" applyFill="1" applyBorder="1" applyAlignment="1">
      <alignment horizontal="center" wrapText="1"/>
    </xf>
    <xf numFmtId="2" fontId="23" fillId="0" borderId="31" xfId="0" applyNumberFormat="1" applyFont="1" applyFill="1" applyBorder="1" applyAlignment="1">
      <alignment horizontal="center" wrapText="1"/>
    </xf>
    <xf numFmtId="0" fontId="23" fillId="0" borderId="31" xfId="0" applyFont="1" applyFill="1" applyBorder="1" applyAlignment="1">
      <alignment horizontal="center" wrapText="1"/>
    </xf>
    <xf numFmtId="4" fontId="23" fillId="0" borderId="31" xfId="0" applyNumberFormat="1" applyFont="1" applyFill="1" applyBorder="1" applyAlignment="1">
      <alignment horizontal="right" wrapText="1"/>
    </xf>
    <xf numFmtId="0" fontId="24" fillId="0" borderId="32" xfId="0" applyFont="1" applyFill="1" applyBorder="1" applyAlignment="1">
      <alignment horizontal="center" wrapText="1"/>
    </xf>
    <xf numFmtId="4" fontId="24" fillId="0" borderId="32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" fontId="23" fillId="0" borderId="32" xfId="0" applyNumberFormat="1" applyFont="1" applyFill="1" applyBorder="1" applyAlignment="1">
      <alignment horizontal="right" wrapText="1"/>
    </xf>
    <xf numFmtId="2" fontId="23" fillId="0" borderId="44" xfId="0" applyNumberFormat="1" applyFont="1" applyBorder="1" applyAlignment="1">
      <alignment horizontal="center" wrapText="1"/>
    </xf>
    <xf numFmtId="0" fontId="22" fillId="0" borderId="17" xfId="0" applyFont="1" applyBorder="1" applyAlignment="1">
      <alignment/>
    </xf>
    <xf numFmtId="0" fontId="24" fillId="0" borderId="32" xfId="0" applyFont="1" applyBorder="1" applyAlignment="1">
      <alignment horizontal="right" wrapText="1"/>
    </xf>
    <xf numFmtId="4" fontId="24" fillId="0" borderId="42" xfId="0" applyNumberFormat="1" applyFont="1" applyBorder="1" applyAlignment="1">
      <alignment wrapText="1"/>
    </xf>
    <xf numFmtId="0" fontId="22" fillId="0" borderId="13" xfId="0" applyFont="1" applyBorder="1" applyAlignment="1">
      <alignment/>
    </xf>
    <xf numFmtId="0" fontId="23" fillId="0" borderId="45" xfId="0" applyFont="1" applyBorder="1" applyAlignment="1">
      <alignment horizontal="center" wrapText="1"/>
    </xf>
    <xf numFmtId="2" fontId="23" fillId="0" borderId="44" xfId="0" applyNumberFormat="1" applyFont="1" applyBorder="1" applyAlignment="1">
      <alignment horizontal="right" wrapText="1"/>
    </xf>
    <xf numFmtId="4" fontId="25" fillId="0" borderId="13" xfId="0" applyNumberFormat="1" applyFont="1" applyBorder="1" applyAlignment="1">
      <alignment/>
    </xf>
    <xf numFmtId="0" fontId="23" fillId="0" borderId="32" xfId="0" applyFont="1" applyBorder="1" applyAlignment="1">
      <alignment wrapText="1"/>
    </xf>
    <xf numFmtId="4" fontId="24" fillId="0" borderId="27" xfId="0" applyNumberFormat="1" applyFont="1" applyBorder="1" applyAlignment="1">
      <alignment/>
    </xf>
    <xf numFmtId="0" fontId="24" fillId="0" borderId="46" xfId="0" applyFont="1" applyBorder="1" applyAlignment="1">
      <alignment horizontal="right"/>
    </xf>
    <xf numFmtId="0" fontId="24" fillId="0" borderId="17" xfId="0" applyFont="1" applyBorder="1" applyAlignment="1">
      <alignment/>
    </xf>
    <xf numFmtId="0" fontId="24" fillId="0" borderId="0" xfId="0" applyFont="1" applyAlignment="1">
      <alignment/>
    </xf>
    <xf numFmtId="2" fontId="23" fillId="0" borderId="31" xfId="0" applyNumberFormat="1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4" fontId="24" fillId="0" borderId="32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23" fillId="0" borderId="46" xfId="0" applyFont="1" applyBorder="1" applyAlignment="1">
      <alignment/>
    </xf>
    <xf numFmtId="0" fontId="23" fillId="0" borderId="17" xfId="0" applyFont="1" applyBorder="1" applyAlignment="1">
      <alignment/>
    </xf>
    <xf numFmtId="2" fontId="23" fillId="0" borderId="29" xfId="0" applyNumberFormat="1" applyFont="1" applyBorder="1" applyAlignment="1">
      <alignment horizontal="center" wrapText="1"/>
    </xf>
    <xf numFmtId="190" fontId="23" fillId="0" borderId="31" xfId="0" applyNumberFormat="1" applyFont="1" applyBorder="1" applyAlignment="1">
      <alignment horizontal="center" wrapText="1"/>
    </xf>
    <xf numFmtId="173" fontId="23" fillId="0" borderId="31" xfId="0" applyNumberFormat="1" applyFont="1" applyBorder="1" applyAlignment="1">
      <alignment horizontal="center" wrapText="1"/>
    </xf>
    <xf numFmtId="190" fontId="23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2" fontId="23" fillId="0" borderId="32" xfId="0" applyNumberFormat="1" applyFont="1" applyBorder="1" applyAlignment="1">
      <alignment horizontal="center" wrapText="1"/>
    </xf>
    <xf numFmtId="14" fontId="23" fillId="0" borderId="10" xfId="0" applyNumberFormat="1" applyFont="1" applyBorder="1" applyAlignment="1">
      <alignment horizontal="right" wrapText="1"/>
    </xf>
    <xf numFmtId="0" fontId="23" fillId="0" borderId="17" xfId="0" applyFont="1" applyBorder="1" applyAlignment="1">
      <alignment wrapText="1"/>
    </xf>
    <xf numFmtId="4" fontId="23" fillId="0" borderId="17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4" fontId="23" fillId="0" borderId="10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 quotePrefix="1">
      <alignment horizontal="right" wrapText="1"/>
    </xf>
    <xf numFmtId="0" fontId="23" fillId="0" borderId="17" xfId="0" applyFont="1" applyFill="1" applyBorder="1" applyAlignment="1" quotePrefix="1">
      <alignment horizontal="left" wrapText="1"/>
    </xf>
    <xf numFmtId="0" fontId="23" fillId="0" borderId="10" xfId="0" applyFont="1" applyBorder="1" applyAlignment="1">
      <alignment horizontal="left" vertical="center" wrapText="1"/>
    </xf>
    <xf numFmtId="4" fontId="22" fillId="0" borderId="0" xfId="0" applyNumberFormat="1" applyFont="1" applyFill="1" applyAlignment="1">
      <alignment/>
    </xf>
    <xf numFmtId="0" fontId="23" fillId="0" borderId="44" xfId="0" applyFont="1" applyFill="1" applyBorder="1" applyAlignment="1">
      <alignment horizontal="center" wrapText="1"/>
    </xf>
    <xf numFmtId="4" fontId="2" fillId="0" borderId="10" xfId="55" applyNumberFormat="1" applyFont="1" applyFill="1" applyBorder="1" applyAlignment="1">
      <alignment horizontal="center" vertical="center" wrapText="1"/>
      <protection/>
    </xf>
    <xf numFmtId="4" fontId="2" fillId="0" borderId="43" xfId="55" applyNumberFormat="1" applyFont="1" applyFill="1" applyBorder="1" applyAlignment="1">
      <alignment horizontal="center" vertical="center" wrapText="1"/>
      <protection/>
    </xf>
    <xf numFmtId="9" fontId="22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4" fontId="24" fillId="0" borderId="0" xfId="0" applyNumberFormat="1" applyFont="1" applyFill="1" applyBorder="1" applyAlignment="1">
      <alignment horizontal="right" wrapText="1"/>
    </xf>
    <xf numFmtId="9" fontId="23" fillId="0" borderId="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/>
    </xf>
    <xf numFmtId="0" fontId="23" fillId="0" borderId="3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23" fillId="0" borderId="29" xfId="0" applyNumberFormat="1" applyFont="1" applyFill="1" applyBorder="1" applyAlignment="1">
      <alignment horizontal="right" wrapText="1"/>
    </xf>
    <xf numFmtId="0" fontId="23" fillId="0" borderId="31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left" vertical="center" wrapText="1"/>
    </xf>
    <xf numFmtId="4" fontId="23" fillId="0" borderId="47" xfId="0" applyNumberFormat="1" applyFont="1" applyFill="1" applyBorder="1" applyAlignment="1">
      <alignment horizontal="right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32" xfId="0" applyFont="1" applyBorder="1" applyAlignment="1">
      <alignment horizontal="left" wrapText="1"/>
    </xf>
    <xf numFmtId="0" fontId="29" fillId="0" borderId="30" xfId="0" applyFont="1" applyBorder="1" applyAlignment="1">
      <alignment horizontal="right" wrapText="1"/>
    </xf>
    <xf numFmtId="4" fontId="29" fillId="0" borderId="30" xfId="0" applyNumberFormat="1" applyFont="1" applyBorder="1" applyAlignment="1">
      <alignment horizontal="right" wrapText="1"/>
    </xf>
    <xf numFmtId="0" fontId="30" fillId="0" borderId="0" xfId="0" applyFont="1" applyAlignment="1">
      <alignment/>
    </xf>
    <xf numFmtId="4" fontId="29" fillId="0" borderId="29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 horizontal="left" wrapText="1"/>
    </xf>
    <xf numFmtId="14" fontId="23" fillId="0" borderId="32" xfId="0" applyNumberFormat="1" applyFont="1" applyBorder="1" applyAlignment="1">
      <alignment horizontal="right" wrapText="1"/>
    </xf>
    <xf numFmtId="4" fontId="23" fillId="0" borderId="29" xfId="0" applyNumberFormat="1" applyFont="1" applyBorder="1" applyAlignment="1">
      <alignment horizontal="right" wrapText="1"/>
    </xf>
    <xf numFmtId="0" fontId="29" fillId="0" borderId="32" xfId="0" applyFont="1" applyBorder="1" applyAlignment="1">
      <alignment horizontal="left" wrapText="1"/>
    </xf>
    <xf numFmtId="4" fontId="37" fillId="39" borderId="10" xfId="54" applyNumberFormat="1" applyFont="1" applyFill="1" applyBorder="1" applyAlignment="1">
      <alignment horizontal="center" vertical="center" wrapText="1"/>
      <protection/>
    </xf>
    <xf numFmtId="4" fontId="23" fillId="0" borderId="17" xfId="0" applyNumberFormat="1" applyFont="1" applyFill="1" applyBorder="1" applyAlignment="1">
      <alignment horizontal="right" wrapText="1"/>
    </xf>
    <xf numFmtId="0" fontId="23" fillId="0" borderId="42" xfId="0" applyFont="1" applyBorder="1" applyAlignment="1">
      <alignment horizontal="center" wrapText="1"/>
    </xf>
    <xf numFmtId="4" fontId="23" fillId="0" borderId="32" xfId="0" applyNumberFormat="1" applyFont="1" applyBorder="1" applyAlignment="1">
      <alignment horizontal="center" wrapText="1"/>
    </xf>
    <xf numFmtId="4" fontId="23" fillId="0" borderId="13" xfId="0" applyNumberFormat="1" applyFont="1" applyBorder="1" applyAlignment="1">
      <alignment horizontal="right" wrapText="1"/>
    </xf>
    <xf numFmtId="0" fontId="23" fillId="37" borderId="30" xfId="0" applyFont="1" applyFill="1" applyBorder="1" applyAlignment="1">
      <alignment horizontal="right" wrapText="1"/>
    </xf>
    <xf numFmtId="4" fontId="23" fillId="37" borderId="30" xfId="0" applyNumberFormat="1" applyFont="1" applyFill="1" applyBorder="1" applyAlignment="1">
      <alignment horizontal="right" wrapText="1"/>
    </xf>
    <xf numFmtId="0" fontId="22" fillId="37" borderId="0" xfId="0" applyFont="1" applyFill="1" applyAlignment="1">
      <alignment/>
    </xf>
    <xf numFmtId="9" fontId="23" fillId="0" borderId="0" xfId="0" applyNumberFormat="1" applyFont="1" applyAlignment="1">
      <alignment wrapText="1"/>
    </xf>
    <xf numFmtId="4" fontId="24" fillId="0" borderId="0" xfId="0" applyNumberFormat="1" applyFont="1" applyBorder="1" applyAlignment="1">
      <alignment horizontal="center" wrapText="1"/>
    </xf>
    <xf numFmtId="0" fontId="22" fillId="37" borderId="10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left" wrapText="1"/>
    </xf>
    <xf numFmtId="0" fontId="23" fillId="0" borderId="48" xfId="0" applyFont="1" applyFill="1" applyBorder="1" applyAlignment="1">
      <alignment horizontal="left" wrapText="1"/>
    </xf>
    <xf numFmtId="0" fontId="22" fillId="0" borderId="17" xfId="0" applyFont="1" applyFill="1" applyBorder="1" applyAlignment="1">
      <alignment wrapText="1"/>
    </xf>
    <xf numFmtId="4" fontId="23" fillId="0" borderId="31" xfId="0" applyNumberFormat="1" applyFont="1" applyFill="1" applyBorder="1" applyAlignment="1">
      <alignment horizontal="center" wrapText="1"/>
    </xf>
    <xf numFmtId="0" fontId="23" fillId="37" borderId="33" xfId="0" applyFont="1" applyFill="1" applyBorder="1" applyAlignment="1">
      <alignment horizontal="center" wrapText="1"/>
    </xf>
    <xf numFmtId="0" fontId="22" fillId="37" borderId="10" xfId="0" applyNumberFormat="1" applyFont="1" applyFill="1" applyBorder="1" applyAlignment="1">
      <alignment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4" fontId="23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 wrapText="1"/>
    </xf>
    <xf numFmtId="173" fontId="23" fillId="0" borderId="30" xfId="0" applyNumberFormat="1" applyFont="1" applyFill="1" applyBorder="1" applyAlignment="1">
      <alignment horizontal="center" wrapText="1"/>
    </xf>
    <xf numFmtId="2" fontId="23" fillId="0" borderId="30" xfId="0" applyNumberFormat="1" applyFont="1" applyBorder="1" applyAlignment="1">
      <alignment horizontal="right" wrapText="1"/>
    </xf>
    <xf numFmtId="0" fontId="2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26" fillId="0" borderId="34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" fillId="0" borderId="49" xfId="0" applyFont="1" applyFill="1" applyBorder="1" applyAlignment="1" quotePrefix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justify" vertical="center" wrapText="1"/>
    </xf>
    <xf numFmtId="0" fontId="26" fillId="0" borderId="0" xfId="0" applyNumberFormat="1" applyFont="1" applyBorder="1" applyAlignment="1">
      <alignment horizontal="left" vertical="center" wrapText="1"/>
    </xf>
    <xf numFmtId="49" fontId="26" fillId="0" borderId="34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 quotePrefix="1">
      <alignment horizontal="center" vertical="center" wrapText="1"/>
    </xf>
    <xf numFmtId="0" fontId="7" fillId="0" borderId="0" xfId="0" applyFont="1" applyFill="1" applyAlignment="1" quotePrefix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34" xfId="0" applyFont="1" applyFill="1" applyBorder="1" applyAlignment="1">
      <alignment horizontal="right" wrapText="1"/>
    </xf>
    <xf numFmtId="0" fontId="15" fillId="0" borderId="4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7" fillId="0" borderId="34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left" vertical="center" wrapText="1"/>
      <protection/>
    </xf>
    <xf numFmtId="0" fontId="4" fillId="0" borderId="0" xfId="55" applyFont="1" applyAlignment="1">
      <alignment horizontal="center" vertical="center"/>
      <protection/>
    </xf>
    <xf numFmtId="4" fontId="7" fillId="0" borderId="21" xfId="0" applyNumberFormat="1" applyFont="1" applyFill="1" applyBorder="1" applyAlignment="1">
      <alignment horizontal="left" wrapText="1"/>
    </xf>
    <xf numFmtId="4" fontId="7" fillId="0" borderId="19" xfId="0" applyNumberFormat="1" applyFont="1" applyFill="1" applyBorder="1" applyAlignment="1">
      <alignment horizontal="left" wrapText="1"/>
    </xf>
    <xf numFmtId="4" fontId="7" fillId="0" borderId="43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8" fillId="0" borderId="49" xfId="0" applyFont="1" applyBorder="1" applyAlignment="1" quotePrefix="1">
      <alignment horizontal="center" wrapText="1"/>
    </xf>
    <xf numFmtId="0" fontId="8" fillId="0" borderId="49" xfId="0" applyFont="1" applyBorder="1" applyAlignment="1">
      <alignment horizont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0" fillId="0" borderId="34" xfId="0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 quotePrefix="1">
      <alignment horizontal="left" wrapText="1"/>
    </xf>
    <xf numFmtId="0" fontId="24" fillId="0" borderId="44" xfId="0" applyFont="1" applyBorder="1" applyAlignment="1">
      <alignment horizontal="right" wrapText="1"/>
    </xf>
    <xf numFmtId="0" fontId="24" fillId="0" borderId="48" xfId="0" applyFont="1" applyBorder="1" applyAlignment="1">
      <alignment horizontal="right" wrapText="1"/>
    </xf>
    <xf numFmtId="0" fontId="23" fillId="0" borderId="0" xfId="0" applyFont="1" applyAlignment="1" quotePrefix="1">
      <alignment horizontal="left" wrapText="1"/>
    </xf>
    <xf numFmtId="0" fontId="24" fillId="0" borderId="0" xfId="0" applyFont="1" applyBorder="1" applyAlignment="1">
      <alignment horizontal="left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left" wrapText="1"/>
    </xf>
    <xf numFmtId="0" fontId="23" fillId="0" borderId="48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horizontal="right" wrapText="1"/>
    </xf>
    <xf numFmtId="0" fontId="24" fillId="0" borderId="68" xfId="0" applyFont="1" applyFill="1" applyBorder="1" applyAlignment="1">
      <alignment horizontal="right" wrapText="1"/>
    </xf>
    <xf numFmtId="0" fontId="23" fillId="0" borderId="42" xfId="0" applyFont="1" applyFill="1" applyBorder="1" applyAlignment="1" quotePrefix="1">
      <alignment horizontal="left" wrapText="1"/>
    </xf>
    <xf numFmtId="0" fontId="23" fillId="0" borderId="35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23" fillId="0" borderId="35" xfId="0" applyFont="1" applyBorder="1" applyAlignment="1">
      <alignment horizontal="left" wrapText="1"/>
    </xf>
    <xf numFmtId="0" fontId="23" fillId="0" borderId="42" xfId="0" applyFont="1" applyBorder="1" applyAlignment="1" quotePrefix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33" xfId="0" applyFont="1" applyBorder="1" applyAlignment="1">
      <alignment horizontal="left" wrapText="1"/>
    </xf>
    <xf numFmtId="0" fontId="24" fillId="0" borderId="10" xfId="0" applyFont="1" applyBorder="1" applyAlignment="1">
      <alignment horizontal="right" wrapText="1"/>
    </xf>
    <xf numFmtId="0" fontId="23" fillId="0" borderId="33" xfId="0" applyFont="1" applyBorder="1" applyAlignment="1" quotePrefix="1">
      <alignment horizontal="left" wrapText="1"/>
    </xf>
    <xf numFmtId="0" fontId="24" fillId="0" borderId="42" xfId="0" applyFont="1" applyBorder="1" applyAlignment="1">
      <alignment wrapText="1"/>
    </xf>
    <xf numFmtId="0" fontId="24" fillId="0" borderId="69" xfId="0" applyFont="1" applyBorder="1" applyAlignment="1">
      <alignment wrapText="1"/>
    </xf>
    <xf numFmtId="0" fontId="24" fillId="0" borderId="33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right" wrapText="1"/>
    </xf>
    <xf numFmtId="0" fontId="24" fillId="0" borderId="29" xfId="0" applyFont="1" applyBorder="1" applyAlignment="1">
      <alignment horizontal="right" wrapText="1"/>
    </xf>
    <xf numFmtId="0" fontId="24" fillId="0" borderId="0" xfId="0" applyFont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3" fillId="0" borderId="31" xfId="0" applyFont="1" applyBorder="1" applyAlignment="1" quotePrefix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4" fontId="23" fillId="0" borderId="33" xfId="0" applyNumberFormat="1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3" fillId="0" borderId="70" xfId="0" applyFont="1" applyBorder="1" applyAlignment="1">
      <alignment horizont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35" xfId="0" applyFont="1" applyBorder="1" applyAlignment="1">
      <alignment wrapText="1"/>
    </xf>
    <xf numFmtId="0" fontId="24" fillId="0" borderId="69" xfId="0" applyFont="1" applyBorder="1" applyAlignment="1">
      <alignment horizontal="left" wrapText="1"/>
    </xf>
    <xf numFmtId="0" fontId="23" fillId="0" borderId="0" xfId="0" applyFont="1" applyAlignment="1">
      <alignment horizontal="center" wrapText="1"/>
    </xf>
    <xf numFmtId="0" fontId="24" fillId="0" borderId="37" xfId="0" applyFont="1" applyBorder="1" applyAlignment="1">
      <alignment horizontal="right" wrapText="1"/>
    </xf>
    <xf numFmtId="0" fontId="24" fillId="0" borderId="68" xfId="0" applyFont="1" applyBorder="1" applyAlignment="1">
      <alignment horizontal="right" wrapText="1"/>
    </xf>
    <xf numFmtId="0" fontId="23" fillId="0" borderId="29" xfId="0" applyFont="1" applyBorder="1" applyAlignment="1" quotePrefix="1">
      <alignment horizontal="left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Fill="1" applyAlignment="1" quotePrefix="1">
      <alignment horizontal="left" wrapText="1"/>
    </xf>
    <xf numFmtId="0" fontId="23" fillId="0" borderId="37" xfId="0" applyFont="1" applyBorder="1" applyAlignment="1">
      <alignment horizontal="left" wrapText="1"/>
    </xf>
    <xf numFmtId="0" fontId="23" fillId="0" borderId="48" xfId="0" applyFont="1" applyBorder="1" applyAlignment="1">
      <alignment horizontal="left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43" xfId="0" applyNumberFormat="1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/>
    </xf>
    <xf numFmtId="0" fontId="0" fillId="0" borderId="34" xfId="0" applyBorder="1" applyAlignment="1">
      <alignment horizont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43" xfId="0" applyFont="1" applyFill="1" applyBorder="1" applyAlignment="1">
      <alignment horizontal="left" vertical="top" wrapText="1"/>
    </xf>
    <xf numFmtId="0" fontId="22" fillId="0" borderId="74" xfId="0" applyFont="1" applyFill="1" applyBorder="1" applyAlignment="1">
      <alignment horizontal="left" vertical="top" wrapText="1"/>
    </xf>
    <xf numFmtId="0" fontId="22" fillId="0" borderId="62" xfId="0" applyFont="1" applyFill="1" applyBorder="1" applyAlignment="1">
      <alignment horizontal="left" vertical="top" wrapText="1"/>
    </xf>
    <xf numFmtId="0" fontId="25" fillId="0" borderId="75" xfId="0" applyFont="1" applyFill="1" applyBorder="1" applyAlignment="1">
      <alignment horizontal="left"/>
    </xf>
    <xf numFmtId="0" fontId="25" fillId="0" borderId="64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 quotePrefix="1">
      <alignment horizontal="left" wrapText="1"/>
    </xf>
    <xf numFmtId="0" fontId="23" fillId="0" borderId="29" xfId="0" applyFont="1" applyFill="1" applyBorder="1" applyAlignment="1" quotePrefix="1">
      <alignment horizontal="left" wrapText="1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23" fillId="0" borderId="42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3" fillId="0" borderId="68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4" fontId="23" fillId="0" borderId="14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5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4" fontId="24" fillId="0" borderId="74" xfId="0" applyNumberFormat="1" applyFont="1" applyBorder="1" applyAlignment="1">
      <alignment horizontal="center"/>
    </xf>
    <xf numFmtId="4" fontId="24" fillId="0" borderId="76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3" xfId="0" applyFont="1" applyBorder="1" applyAlignment="1">
      <alignment horizontal="center" wrapText="1"/>
    </xf>
    <xf numFmtId="2" fontId="23" fillId="0" borderId="3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top" wrapText="1"/>
    </xf>
    <xf numFmtId="0" fontId="24" fillId="0" borderId="43" xfId="0" applyFont="1" applyBorder="1" applyAlignment="1">
      <alignment horizontal="left" vertical="top" wrapText="1"/>
    </xf>
    <xf numFmtId="0" fontId="23" fillId="0" borderId="44" xfId="0" applyFont="1" applyBorder="1" applyAlignment="1" quotePrefix="1">
      <alignment horizontal="left" wrapText="1"/>
    </xf>
    <xf numFmtId="0" fontId="23" fillId="0" borderId="48" xfId="0" applyFont="1" applyBorder="1" applyAlignment="1" quotePrefix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77" xfId="0" applyFont="1" applyBorder="1" applyAlignment="1">
      <alignment horizontal="left" wrapText="1"/>
    </xf>
    <xf numFmtId="0" fontId="23" fillId="0" borderId="78" xfId="0" applyFont="1" applyBorder="1" applyAlignment="1">
      <alignment horizontal="left" wrapText="1"/>
    </xf>
    <xf numFmtId="0" fontId="24" fillId="0" borderId="0" xfId="0" applyFont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0" borderId="79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22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План фх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75" zoomScaleNormal="75" zoomScaleSheetLayoutView="75" zoomScalePageLayoutView="0" workbookViewId="0" topLeftCell="A25">
      <selection activeCell="A22" sqref="A22:F22"/>
    </sheetView>
  </sheetViews>
  <sheetFormatPr defaultColWidth="9.140625" defaultRowHeight="15"/>
  <cols>
    <col min="1" max="1" width="9.140625" style="68" customWidth="1"/>
    <col min="2" max="2" width="53.140625" style="69" customWidth="1"/>
    <col min="3" max="3" width="12.28125" style="68" customWidth="1"/>
    <col min="4" max="4" width="38.00390625" style="71" customWidth="1"/>
    <col min="5" max="5" width="13.140625" style="69" customWidth="1"/>
    <col min="6" max="6" width="16.00390625" style="69" customWidth="1"/>
    <col min="7" max="16384" width="9.140625" style="69" customWidth="1"/>
  </cols>
  <sheetData>
    <row r="1" spans="3:6" ht="18.75">
      <c r="C1" s="506" t="s">
        <v>96</v>
      </c>
      <c r="D1" s="506"/>
      <c r="E1" s="506"/>
      <c r="F1" s="506"/>
    </row>
    <row r="2" spans="1:6" ht="31.5" customHeight="1">
      <c r="A2" s="9"/>
      <c r="B2" s="70"/>
      <c r="C2" s="507" t="s">
        <v>180</v>
      </c>
      <c r="D2" s="507"/>
      <c r="E2" s="507"/>
      <c r="F2" s="507"/>
    </row>
    <row r="3" spans="1:6" ht="15">
      <c r="A3" s="9"/>
      <c r="B3" s="70"/>
      <c r="C3" s="508" t="s">
        <v>97</v>
      </c>
      <c r="D3" s="508"/>
      <c r="E3" s="508"/>
      <c r="F3" s="508"/>
    </row>
    <row r="4" spans="1:6" ht="16.5">
      <c r="A4" s="9"/>
      <c r="B4" s="70"/>
      <c r="C4" s="509"/>
      <c r="D4" s="509"/>
      <c r="E4" s="510" t="s">
        <v>98</v>
      </c>
      <c r="F4" s="510"/>
    </row>
    <row r="5" spans="1:6" ht="15">
      <c r="A5" s="9"/>
      <c r="B5" s="70"/>
      <c r="C5" s="513" t="s">
        <v>99</v>
      </c>
      <c r="D5" s="513"/>
      <c r="E5" s="513" t="s">
        <v>100</v>
      </c>
      <c r="F5" s="513"/>
    </row>
    <row r="6" spans="1:6" ht="15">
      <c r="A6" s="9"/>
      <c r="B6" s="70"/>
      <c r="C6" s="9"/>
      <c r="E6" s="503" t="s">
        <v>714</v>
      </c>
      <c r="F6" s="504"/>
    </row>
    <row r="7" spans="1:6" ht="30" customHeight="1">
      <c r="A7" s="501" t="s">
        <v>101</v>
      </c>
      <c r="B7" s="501"/>
      <c r="C7" s="501"/>
      <c r="D7" s="501"/>
      <c r="E7" s="501"/>
      <c r="F7" s="501"/>
    </row>
    <row r="8" spans="1:6" ht="26.25" customHeight="1">
      <c r="A8" s="502" t="s">
        <v>648</v>
      </c>
      <c r="B8" s="501"/>
      <c r="C8" s="501"/>
      <c r="D8" s="501"/>
      <c r="E8" s="501"/>
      <c r="F8" s="501"/>
    </row>
    <row r="9" spans="1:6" ht="30" customHeight="1">
      <c r="A9" s="504" t="s">
        <v>715</v>
      </c>
      <c r="B9" s="504"/>
      <c r="C9" s="504"/>
      <c r="D9" s="504"/>
      <c r="E9" s="504"/>
      <c r="F9" s="504"/>
    </row>
    <row r="10" spans="1:6" ht="15">
      <c r="A10" s="9"/>
      <c r="B10" s="70"/>
      <c r="C10" s="9"/>
      <c r="E10" s="70"/>
      <c r="F10" s="9" t="s">
        <v>102</v>
      </c>
    </row>
    <row r="11" spans="1:6" ht="15">
      <c r="A11" s="9"/>
      <c r="B11" s="70"/>
      <c r="C11" s="9"/>
      <c r="E11" s="72"/>
      <c r="F11" s="73"/>
    </row>
    <row r="12" spans="1:6" ht="42.75" customHeight="1">
      <c r="A12" s="496" t="s">
        <v>103</v>
      </c>
      <c r="B12" s="496"/>
      <c r="C12" s="505" t="s">
        <v>199</v>
      </c>
      <c r="D12" s="505"/>
      <c r="E12" s="74" t="s">
        <v>104</v>
      </c>
      <c r="F12" s="150">
        <v>4913342</v>
      </c>
    </row>
    <row r="13" spans="1:6" ht="30" customHeight="1">
      <c r="A13" s="496" t="s">
        <v>105</v>
      </c>
      <c r="B13" s="496"/>
      <c r="C13" s="498" t="s">
        <v>106</v>
      </c>
      <c r="D13" s="498"/>
      <c r="E13" s="75"/>
      <c r="F13" s="76"/>
    </row>
    <row r="14" spans="1:6" ht="30" customHeight="1">
      <c r="A14" s="496" t="s">
        <v>716</v>
      </c>
      <c r="B14" s="496"/>
      <c r="C14" s="498" t="s">
        <v>106</v>
      </c>
      <c r="D14" s="498"/>
      <c r="E14" s="75"/>
      <c r="F14" s="76"/>
    </row>
    <row r="15" spans="1:6" ht="35.25" customHeight="1">
      <c r="A15" s="496" t="s">
        <v>717</v>
      </c>
      <c r="B15" s="496"/>
      <c r="C15" s="512" t="s">
        <v>718</v>
      </c>
      <c r="D15" s="512"/>
      <c r="E15" s="77"/>
      <c r="F15" s="41"/>
    </row>
    <row r="16" spans="1:6" ht="15.75">
      <c r="A16" s="496" t="s">
        <v>107</v>
      </c>
      <c r="B16" s="496"/>
      <c r="C16" s="499" t="s">
        <v>200</v>
      </c>
      <c r="D16" s="499"/>
      <c r="E16" s="77"/>
      <c r="F16" s="44" t="s">
        <v>71</v>
      </c>
    </row>
    <row r="17" spans="1:6" ht="15">
      <c r="A17" s="496" t="s">
        <v>108</v>
      </c>
      <c r="B17" s="496"/>
      <c r="C17" s="500" t="s">
        <v>109</v>
      </c>
      <c r="D17" s="500"/>
      <c r="E17" s="72" t="s">
        <v>110</v>
      </c>
      <c r="F17" s="31">
        <v>383</v>
      </c>
    </row>
    <row r="18" spans="1:6" ht="15">
      <c r="A18" s="496"/>
      <c r="B18" s="496"/>
      <c r="C18" s="9"/>
      <c r="E18" s="70"/>
      <c r="F18" s="70"/>
    </row>
    <row r="19" spans="1:6" ht="18" customHeight="1">
      <c r="A19" s="495" t="s">
        <v>111</v>
      </c>
      <c r="B19" s="495"/>
      <c r="C19" s="495"/>
      <c r="D19" s="495"/>
      <c r="E19" s="495"/>
      <c r="F19" s="495"/>
    </row>
    <row r="20" spans="1:6" ht="23.25" customHeight="1">
      <c r="A20" s="496" t="s">
        <v>59</v>
      </c>
      <c r="B20" s="496"/>
      <c r="C20" s="496"/>
      <c r="D20" s="496"/>
      <c r="E20" s="496"/>
      <c r="F20" s="496"/>
    </row>
    <row r="21" spans="1:6" ht="246.75" customHeight="1">
      <c r="A21" s="497" t="s">
        <v>748</v>
      </c>
      <c r="B21" s="497"/>
      <c r="C21" s="497"/>
      <c r="D21" s="497"/>
      <c r="E21" s="497"/>
      <c r="F21" s="497"/>
    </row>
    <row r="22" spans="1:6" ht="21" customHeight="1">
      <c r="A22" s="488" t="s">
        <v>58</v>
      </c>
      <c r="B22" s="488"/>
      <c r="C22" s="488"/>
      <c r="D22" s="488"/>
      <c r="E22" s="488"/>
      <c r="F22" s="488"/>
    </row>
    <row r="23" spans="1:6" ht="21" customHeight="1">
      <c r="A23" s="492" t="s">
        <v>201</v>
      </c>
      <c r="B23" s="492"/>
      <c r="C23" s="492"/>
      <c r="D23" s="492"/>
      <c r="E23" s="492"/>
      <c r="F23" s="492"/>
    </row>
    <row r="24" spans="1:6" ht="21" customHeight="1">
      <c r="A24" s="492" t="s">
        <v>202</v>
      </c>
      <c r="B24" s="492"/>
      <c r="C24" s="492"/>
      <c r="D24" s="492"/>
      <c r="E24" s="492"/>
      <c r="F24" s="492"/>
    </row>
    <row r="25" spans="1:6" ht="76.5" customHeight="1">
      <c r="A25" s="493" t="s">
        <v>203</v>
      </c>
      <c r="B25" s="493"/>
      <c r="C25" s="493"/>
      <c r="D25" s="493"/>
      <c r="E25" s="493"/>
      <c r="F25" s="493"/>
    </row>
    <row r="26" spans="1:6" ht="21" customHeight="1">
      <c r="A26" s="493" t="s">
        <v>204</v>
      </c>
      <c r="B26" s="493"/>
      <c r="C26" s="493"/>
      <c r="D26" s="493"/>
      <c r="E26" s="493"/>
      <c r="F26" s="493"/>
    </row>
    <row r="27" spans="1:6" ht="15.75">
      <c r="A27" s="493" t="s">
        <v>205</v>
      </c>
      <c r="B27" s="493"/>
      <c r="C27" s="493"/>
      <c r="D27" s="493"/>
      <c r="E27" s="493"/>
      <c r="F27" s="493"/>
    </row>
    <row r="28" spans="1:6" ht="15.75">
      <c r="A28" s="487" t="s">
        <v>206</v>
      </c>
      <c r="B28" s="487"/>
      <c r="C28" s="487"/>
      <c r="D28" s="487"/>
      <c r="E28" s="487"/>
      <c r="F28" s="487"/>
    </row>
    <row r="29" spans="1:6" ht="18.75" customHeight="1">
      <c r="A29" s="488" t="s">
        <v>60</v>
      </c>
      <c r="B29" s="488"/>
      <c r="C29" s="488"/>
      <c r="D29" s="488"/>
      <c r="E29" s="488"/>
      <c r="F29" s="488"/>
    </row>
    <row r="30" spans="1:6" ht="405.75" customHeight="1">
      <c r="A30" s="489" t="s">
        <v>747</v>
      </c>
      <c r="B30" s="489"/>
      <c r="C30" s="489"/>
      <c r="D30" s="489"/>
      <c r="E30" s="489"/>
      <c r="F30" s="489"/>
    </row>
    <row r="31" spans="1:6" ht="15.75" customHeight="1">
      <c r="A31" s="511" t="s">
        <v>705</v>
      </c>
      <c r="B31" s="511"/>
      <c r="C31" s="511"/>
      <c r="D31" s="511"/>
      <c r="E31" s="511"/>
      <c r="F31" s="511"/>
    </row>
    <row r="32" spans="1:6" ht="40.5" customHeight="1">
      <c r="A32" s="494" t="s">
        <v>706</v>
      </c>
      <c r="B32" s="494"/>
      <c r="C32" s="494"/>
      <c r="D32" s="494"/>
      <c r="E32" s="494"/>
      <c r="F32" s="494"/>
    </row>
    <row r="33" spans="1:6" ht="25.5" customHeight="1">
      <c r="A33" s="490" t="s">
        <v>409</v>
      </c>
      <c r="B33" s="491"/>
      <c r="C33" s="491"/>
      <c r="D33" s="491"/>
      <c r="E33" s="491"/>
      <c r="F33" s="491"/>
    </row>
    <row r="34" spans="1:6" ht="25.5" customHeight="1">
      <c r="A34" s="490" t="s">
        <v>707</v>
      </c>
      <c r="B34" s="491"/>
      <c r="C34" s="491"/>
      <c r="D34" s="491"/>
      <c r="E34" s="491"/>
      <c r="F34" s="491"/>
    </row>
  </sheetData>
  <sheetProtection/>
  <mergeCells count="40">
    <mergeCell ref="C1:F1"/>
    <mergeCell ref="C2:F2"/>
    <mergeCell ref="C3:F3"/>
    <mergeCell ref="C4:D4"/>
    <mergeCell ref="E4:F4"/>
    <mergeCell ref="A31:F31"/>
    <mergeCell ref="A15:B15"/>
    <mergeCell ref="C15:D15"/>
    <mergeCell ref="C5:D5"/>
    <mergeCell ref="E5:F5"/>
    <mergeCell ref="A7:F7"/>
    <mergeCell ref="A8:F8"/>
    <mergeCell ref="E6:F6"/>
    <mergeCell ref="A9:F9"/>
    <mergeCell ref="A12:B12"/>
    <mergeCell ref="C12:D12"/>
    <mergeCell ref="A13:B13"/>
    <mergeCell ref="C13:D13"/>
    <mergeCell ref="A14:B14"/>
    <mergeCell ref="C14:D14"/>
    <mergeCell ref="A34:F34"/>
    <mergeCell ref="A16:B16"/>
    <mergeCell ref="C16:D16"/>
    <mergeCell ref="A17:B17"/>
    <mergeCell ref="C17:D17"/>
    <mergeCell ref="A18:B18"/>
    <mergeCell ref="A19:F19"/>
    <mergeCell ref="A20:F20"/>
    <mergeCell ref="A21:F21"/>
    <mergeCell ref="A23:F23"/>
    <mergeCell ref="A22:F22"/>
    <mergeCell ref="A27:F27"/>
    <mergeCell ref="A28:F28"/>
    <mergeCell ref="A29:F29"/>
    <mergeCell ref="A30:F30"/>
    <mergeCell ref="A33:F33"/>
    <mergeCell ref="A24:F24"/>
    <mergeCell ref="A25:F25"/>
    <mergeCell ref="A26:F26"/>
    <mergeCell ref="A32:F32"/>
  </mergeCells>
  <printOptions/>
  <pageMargins left="0.7480314960629921" right="0.1968503937007874" top="0.2362204724409449" bottom="0.1968503937007874" header="0.1968503937007874" footer="0.1968503937007874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4.57421875" style="0" customWidth="1"/>
    <col min="2" max="2" width="15.28125" style="0" customWidth="1"/>
    <col min="3" max="3" width="16.140625" style="0" customWidth="1"/>
  </cols>
  <sheetData>
    <row r="2" ht="15">
      <c r="A2">
        <v>14784158</v>
      </c>
    </row>
    <row r="3" ht="15">
      <c r="B3" s="201" t="e">
        <f>B4+B5+B6+B7</f>
        <v>#REF!</v>
      </c>
    </row>
    <row r="4" spans="1:2" ht="15.75">
      <c r="A4" s="194" t="s">
        <v>312</v>
      </c>
      <c r="B4">
        <f>A2*50%</f>
        <v>7392079</v>
      </c>
    </row>
    <row r="5" spans="1:2" ht="15.75">
      <c r="A5" s="195" t="s">
        <v>313</v>
      </c>
      <c r="B5">
        <v>2000000</v>
      </c>
    </row>
    <row r="6" spans="1:2" ht="15.75">
      <c r="A6" s="196" t="s">
        <v>314</v>
      </c>
      <c r="B6" s="201" t="e">
        <f>'расчеты 4'!G236+'расчеты 4'!G237+'расчеты 4'!#REF!</f>
        <v>#REF!</v>
      </c>
    </row>
    <row r="7" spans="1:2" ht="15.75">
      <c r="A7" s="197" t="s">
        <v>315</v>
      </c>
      <c r="B7" s="201">
        <f>'Таблица 2018'!E48+'Таблица 2018'!E49+'Таблица 2018'!E50+'Таблица 2018'!E51</f>
        <v>2405500</v>
      </c>
    </row>
    <row r="8" ht="15.75">
      <c r="A8" s="195"/>
    </row>
    <row r="9" ht="15.75">
      <c r="A9" s="198" t="s">
        <v>316</v>
      </c>
    </row>
    <row r="10" ht="15.75">
      <c r="A10" s="199" t="s">
        <v>317</v>
      </c>
    </row>
    <row r="11" ht="15.75">
      <c r="A11" s="195"/>
    </row>
    <row r="12" ht="15.75">
      <c r="A12" s="200" t="s">
        <v>318</v>
      </c>
    </row>
    <row r="15" ht="15">
      <c r="A15" s="201" t="e">
        <f>A2-B3</f>
        <v>#REF!</v>
      </c>
    </row>
    <row r="17" spans="1:2" ht="15">
      <c r="A17">
        <v>1250000</v>
      </c>
      <c r="B17" t="s">
        <v>319</v>
      </c>
    </row>
    <row r="18" spans="1:2" ht="15">
      <c r="A18">
        <v>2000000</v>
      </c>
      <c r="B18" t="s">
        <v>319</v>
      </c>
    </row>
    <row r="19" ht="15">
      <c r="A19">
        <f>A17+A18</f>
        <v>3250000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7.8515625" style="95" customWidth="1"/>
    <col min="2" max="2" width="45.140625" style="95" customWidth="1"/>
    <col min="3" max="3" width="22.421875" style="95" customWidth="1"/>
    <col min="4" max="16384" width="9.140625" style="97" customWidth="1"/>
  </cols>
  <sheetData>
    <row r="1" ht="15">
      <c r="C1" s="96" t="s">
        <v>11</v>
      </c>
    </row>
    <row r="2" ht="15">
      <c r="A2" s="98"/>
    </row>
    <row r="3" spans="1:3" ht="15.75">
      <c r="A3" s="516" t="s">
        <v>719</v>
      </c>
      <c r="B3" s="516"/>
      <c r="C3" s="516"/>
    </row>
    <row r="4" spans="1:3" ht="15.75">
      <c r="A4" s="516" t="s">
        <v>708</v>
      </c>
      <c r="B4" s="516"/>
      <c r="C4" s="516"/>
    </row>
    <row r="5" spans="1:3" ht="15.75">
      <c r="A5" s="516" t="s">
        <v>115</v>
      </c>
      <c r="B5" s="516"/>
      <c r="C5" s="516"/>
    </row>
    <row r="6" ht="15">
      <c r="A6" s="98"/>
    </row>
    <row r="7" spans="1:3" ht="15">
      <c r="A7" s="258" t="s">
        <v>12</v>
      </c>
      <c r="B7" s="258" t="s">
        <v>1</v>
      </c>
      <c r="C7" s="258" t="s">
        <v>407</v>
      </c>
    </row>
    <row r="8" spans="1:6" ht="15">
      <c r="A8" s="258">
        <v>1</v>
      </c>
      <c r="B8" s="258">
        <v>2</v>
      </c>
      <c r="C8" s="258">
        <v>3</v>
      </c>
      <c r="F8" s="263"/>
    </row>
    <row r="9" spans="1:6" ht="15">
      <c r="A9" s="103"/>
      <c r="B9" s="103" t="s">
        <v>13</v>
      </c>
      <c r="C9" s="433">
        <v>48535814.8</v>
      </c>
      <c r="F9" s="264"/>
    </row>
    <row r="10" spans="1:6" ht="15">
      <c r="A10" s="514"/>
      <c r="B10" s="105" t="s">
        <v>14</v>
      </c>
      <c r="C10" s="433"/>
      <c r="F10" s="264"/>
    </row>
    <row r="11" spans="1:6" ht="15">
      <c r="A11" s="514"/>
      <c r="B11" s="105" t="s">
        <v>15</v>
      </c>
      <c r="C11" s="433">
        <v>26944700.73</v>
      </c>
      <c r="F11" s="264"/>
    </row>
    <row r="12" spans="1:6" ht="15">
      <c r="A12" s="259"/>
      <c r="B12" s="260" t="s">
        <v>6</v>
      </c>
      <c r="C12" s="434"/>
      <c r="F12" s="264"/>
    </row>
    <row r="13" spans="1:6" ht="15">
      <c r="A13" s="100"/>
      <c r="B13" s="101" t="s">
        <v>16</v>
      </c>
      <c r="C13" s="433">
        <v>11911264.68</v>
      </c>
      <c r="F13" s="264"/>
    </row>
    <row r="14" spans="1:6" ht="15">
      <c r="A14" s="103"/>
      <c r="B14" s="102" t="s">
        <v>17</v>
      </c>
      <c r="C14" s="433">
        <v>2075943.14</v>
      </c>
      <c r="F14" s="264"/>
    </row>
    <row r="15" spans="1:6" ht="15">
      <c r="A15" s="259"/>
      <c r="B15" s="260" t="s">
        <v>6</v>
      </c>
      <c r="C15" s="434"/>
      <c r="F15" s="264"/>
    </row>
    <row r="16" spans="1:6" ht="15">
      <c r="A16" s="103"/>
      <c r="B16" s="260" t="s">
        <v>16</v>
      </c>
      <c r="C16" s="433">
        <v>489187.73</v>
      </c>
      <c r="F16" s="264"/>
    </row>
    <row r="17" spans="1:6" ht="15">
      <c r="A17" s="103"/>
      <c r="B17" s="103" t="s">
        <v>18</v>
      </c>
      <c r="C17" s="433">
        <f>-40181596.95</f>
        <v>-40181596.95</v>
      </c>
      <c r="F17" s="264"/>
    </row>
    <row r="18" spans="1:6" ht="15">
      <c r="A18" s="514"/>
      <c r="B18" s="105" t="s">
        <v>14</v>
      </c>
      <c r="C18" s="433"/>
      <c r="F18" s="264"/>
    </row>
    <row r="19" spans="1:6" ht="15">
      <c r="A19" s="514"/>
      <c r="B19" s="99" t="s">
        <v>19</v>
      </c>
      <c r="C19" s="433">
        <v>4220588.7</v>
      </c>
      <c r="F19" s="264"/>
    </row>
    <row r="20" spans="1:6" ht="15">
      <c r="A20" s="515"/>
      <c r="B20" s="260" t="s">
        <v>6</v>
      </c>
      <c r="C20" s="433"/>
      <c r="F20" s="264"/>
    </row>
    <row r="21" spans="1:6" ht="15">
      <c r="A21" s="515"/>
      <c r="B21" s="104" t="s">
        <v>20</v>
      </c>
      <c r="C21" s="433">
        <f>C19</f>
        <v>4220588.7</v>
      </c>
      <c r="F21" s="264"/>
    </row>
    <row r="22" spans="1:6" ht="40.5">
      <c r="A22" s="103"/>
      <c r="B22" s="104" t="s">
        <v>21</v>
      </c>
      <c r="C22" s="433"/>
      <c r="F22" s="264"/>
    </row>
    <row r="23" spans="1:6" ht="15">
      <c r="A23" s="103"/>
      <c r="B23" s="105" t="s">
        <v>22</v>
      </c>
      <c r="C23" s="433"/>
      <c r="F23" s="264"/>
    </row>
    <row r="24" spans="1:6" ht="15">
      <c r="A24" s="103"/>
      <c r="B24" s="105" t="s">
        <v>23</v>
      </c>
      <c r="C24" s="433">
        <v>2470333.55</v>
      </c>
      <c r="F24" s="264"/>
    </row>
    <row r="25" spans="1:6" ht="15">
      <c r="A25" s="103"/>
      <c r="B25" s="105" t="s">
        <v>24</v>
      </c>
      <c r="C25" s="433">
        <f>61287.79+195147.96</f>
        <v>256435.75</v>
      </c>
      <c r="F25" s="264"/>
    </row>
    <row r="26" spans="1:6" ht="15">
      <c r="A26" s="103"/>
      <c r="B26" s="103" t="s">
        <v>25</v>
      </c>
      <c r="C26" s="433">
        <v>5190189.95</v>
      </c>
      <c r="F26" s="264"/>
    </row>
    <row r="27" spans="1:6" ht="15">
      <c r="A27" s="514"/>
      <c r="B27" s="105" t="s">
        <v>14</v>
      </c>
      <c r="C27" s="433"/>
      <c r="F27" s="263"/>
    </row>
    <row r="28" spans="1:6" ht="15">
      <c r="A28" s="514"/>
      <c r="B28" s="105" t="s">
        <v>26</v>
      </c>
      <c r="C28" s="433"/>
      <c r="F28" s="264"/>
    </row>
    <row r="29" spans="1:6" ht="15">
      <c r="A29" s="103"/>
      <c r="B29" s="105" t="s">
        <v>27</v>
      </c>
      <c r="C29" s="433">
        <f>C26</f>
        <v>5190189.95</v>
      </c>
      <c r="F29" s="264"/>
    </row>
    <row r="30" spans="1:6" ht="15">
      <c r="A30" s="514"/>
      <c r="B30" s="261" t="s">
        <v>6</v>
      </c>
      <c r="C30" s="433"/>
      <c r="F30" s="264"/>
    </row>
    <row r="31" spans="1:6" ht="15">
      <c r="A31" s="514"/>
      <c r="B31" s="260" t="s">
        <v>28</v>
      </c>
      <c r="C31" s="433">
        <v>0</v>
      </c>
      <c r="F31" s="264"/>
    </row>
    <row r="32" spans="1:6" ht="15">
      <c r="A32" s="98"/>
      <c r="C32" s="262"/>
      <c r="F32" s="263"/>
    </row>
    <row r="33" ht="15">
      <c r="A33" s="98"/>
    </row>
  </sheetData>
  <sheetProtection/>
  <mergeCells count="8">
    <mergeCell ref="A10:A11"/>
    <mergeCell ref="A18:A19"/>
    <mergeCell ref="A20:A21"/>
    <mergeCell ref="A27:A28"/>
    <mergeCell ref="A30:A31"/>
    <mergeCell ref="A3:C3"/>
    <mergeCell ref="A4:C4"/>
    <mergeCell ref="A5:C5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80" zoomScaleNormal="75" zoomScaleSheetLayoutView="80" zoomScalePageLayoutView="0" workbookViewId="0" topLeftCell="A33">
      <selection activeCell="G54" sqref="G54"/>
    </sheetView>
  </sheetViews>
  <sheetFormatPr defaultColWidth="9.140625" defaultRowHeight="15"/>
  <cols>
    <col min="1" max="1" width="41.8515625" style="8" customWidth="1"/>
    <col min="2" max="2" width="7.00390625" style="11" customWidth="1"/>
    <col min="3" max="4" width="7.8515625" style="11" customWidth="1"/>
    <col min="5" max="6" width="16.00390625" style="66" customWidth="1"/>
    <col min="7" max="7" width="23.7109375" style="8" customWidth="1"/>
    <col min="8" max="8" width="16.7109375" style="8" customWidth="1"/>
    <col min="9" max="10" width="13.7109375" style="8" customWidth="1"/>
    <col min="11" max="11" width="1.421875" style="8" customWidth="1"/>
    <col min="12" max="12" width="13.28125" style="8" customWidth="1"/>
    <col min="13" max="13" width="13.57421875" style="8" customWidth="1"/>
    <col min="14" max="16384" width="9.140625" style="8" customWidth="1"/>
  </cols>
  <sheetData>
    <row r="1" spans="1:10" ht="15">
      <c r="A1" s="528" t="s">
        <v>720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0.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9.5" customHeight="1">
      <c r="A3" s="530" t="s">
        <v>66</v>
      </c>
      <c r="B3" s="533" t="s">
        <v>2</v>
      </c>
      <c r="C3" s="536" t="s">
        <v>29</v>
      </c>
      <c r="D3" s="537"/>
      <c r="E3" s="539" t="s">
        <v>186</v>
      </c>
      <c r="F3" s="540"/>
      <c r="G3" s="540"/>
      <c r="H3" s="540"/>
      <c r="I3" s="540"/>
      <c r="J3" s="541"/>
    </row>
    <row r="4" spans="1:10" s="11" customFormat="1" ht="83.25" customHeight="1">
      <c r="A4" s="531"/>
      <c r="B4" s="534"/>
      <c r="C4" s="535"/>
      <c r="D4" s="538"/>
      <c r="E4" s="542" t="s">
        <v>67</v>
      </c>
      <c r="F4" s="544" t="s">
        <v>68</v>
      </c>
      <c r="G4" s="544" t="s">
        <v>69</v>
      </c>
      <c r="H4" s="545" t="s">
        <v>70</v>
      </c>
      <c r="I4" s="547" t="s">
        <v>31</v>
      </c>
      <c r="J4" s="548"/>
    </row>
    <row r="5" spans="1:10" ht="45" customHeight="1">
      <c r="A5" s="532"/>
      <c r="B5" s="535"/>
      <c r="C5" s="4" t="s">
        <v>53</v>
      </c>
      <c r="D5" s="4" t="s">
        <v>54</v>
      </c>
      <c r="E5" s="543"/>
      <c r="F5" s="544"/>
      <c r="G5" s="544"/>
      <c r="H5" s="546"/>
      <c r="I5" s="4" t="s">
        <v>30</v>
      </c>
      <c r="J5" s="13" t="s">
        <v>32</v>
      </c>
    </row>
    <row r="6" spans="1:10" ht="15.75" customHeight="1">
      <c r="A6" s="12">
        <v>1</v>
      </c>
      <c r="B6" s="14">
        <v>2</v>
      </c>
      <c r="C6" s="523">
        <v>3</v>
      </c>
      <c r="D6" s="52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6">
        <v>9</v>
      </c>
    </row>
    <row r="7" spans="1:12" s="21" customFormat="1" ht="25.5" customHeight="1">
      <c r="A7" s="17" t="s">
        <v>33</v>
      </c>
      <c r="B7" s="18">
        <v>100</v>
      </c>
      <c r="C7" s="18" t="s">
        <v>71</v>
      </c>
      <c r="D7" s="18" t="s">
        <v>71</v>
      </c>
      <c r="E7" s="19">
        <f>F7+G7+H7+I7</f>
        <v>40734741</v>
      </c>
      <c r="F7" s="19">
        <f>F10</f>
        <v>33100200</v>
      </c>
      <c r="G7" s="19">
        <f>G20</f>
        <v>1197041</v>
      </c>
      <c r="H7" s="19">
        <f>H20</f>
        <v>0</v>
      </c>
      <c r="I7" s="19">
        <f>I10</f>
        <v>6437500</v>
      </c>
      <c r="J7" s="20" t="s">
        <v>71</v>
      </c>
      <c r="L7" s="22"/>
    </row>
    <row r="8" spans="1:10" ht="12.75" customHeight="1">
      <c r="A8" s="525" t="s">
        <v>72</v>
      </c>
      <c r="B8" s="526"/>
      <c r="C8" s="526"/>
      <c r="D8" s="526"/>
      <c r="E8" s="526"/>
      <c r="F8" s="526"/>
      <c r="G8" s="526"/>
      <c r="H8" s="526"/>
      <c r="I8" s="526"/>
      <c r="J8" s="527"/>
    </row>
    <row r="9" spans="1:10" s="21" customFormat="1" ht="16.5" customHeight="1">
      <c r="A9" s="23" t="s">
        <v>73</v>
      </c>
      <c r="B9" s="18">
        <v>110</v>
      </c>
      <c r="C9" s="18" t="s">
        <v>71</v>
      </c>
      <c r="D9" s="18" t="s">
        <v>71</v>
      </c>
      <c r="E9" s="19">
        <f>I9</f>
        <v>0</v>
      </c>
      <c r="F9" s="18" t="s">
        <v>71</v>
      </c>
      <c r="G9" s="18" t="s">
        <v>71</v>
      </c>
      <c r="H9" s="18" t="s">
        <v>71</v>
      </c>
      <c r="I9" s="24">
        <v>0</v>
      </c>
      <c r="J9" s="20" t="s">
        <v>71</v>
      </c>
    </row>
    <row r="10" spans="1:12" s="26" customFormat="1" ht="30" customHeight="1">
      <c r="A10" s="23" t="s">
        <v>74</v>
      </c>
      <c r="B10" s="18">
        <v>120</v>
      </c>
      <c r="C10" s="18" t="s">
        <v>71</v>
      </c>
      <c r="D10" s="18" t="s">
        <v>71</v>
      </c>
      <c r="E10" s="19">
        <f>F10+I10+J10</f>
        <v>39537700</v>
      </c>
      <c r="F10" s="19">
        <f>F11+F12+F13+F15</f>
        <v>33100200</v>
      </c>
      <c r="G10" s="18" t="s">
        <v>71</v>
      </c>
      <c r="H10" s="18" t="s">
        <v>71</v>
      </c>
      <c r="I10" s="24">
        <f>I12+I14+I15+I17+I18+I19+I13</f>
        <v>6437500</v>
      </c>
      <c r="J10" s="25"/>
      <c r="L10" s="27"/>
    </row>
    <row r="11" spans="1:12" s="26" customFormat="1" ht="30" customHeight="1">
      <c r="A11" s="381" t="s">
        <v>620</v>
      </c>
      <c r="B11" s="31">
        <v>121</v>
      </c>
      <c r="C11" s="15"/>
      <c r="D11" s="15"/>
      <c r="E11" s="190">
        <f>F11+G11+H11+I11+J11</f>
        <v>33100200</v>
      </c>
      <c r="F11" s="30">
        <f>13602800+18955600+541800</f>
        <v>33100200</v>
      </c>
      <c r="G11" s="31"/>
      <c r="H11" s="31"/>
      <c r="I11" s="382"/>
      <c r="J11" s="380"/>
      <c r="L11" s="383"/>
    </row>
    <row r="12" spans="1:10" s="171" customFormat="1" ht="60">
      <c r="A12" s="6" t="s">
        <v>308</v>
      </c>
      <c r="B12" s="189">
        <v>122</v>
      </c>
      <c r="C12" s="45" t="s">
        <v>55</v>
      </c>
      <c r="D12" s="46">
        <v>130</v>
      </c>
      <c r="E12" s="190">
        <f>F12+G12+H12+I12+J12</f>
        <v>6332500</v>
      </c>
      <c r="F12" s="47">
        <v>0</v>
      </c>
      <c r="G12" s="47">
        <v>0</v>
      </c>
      <c r="H12" s="6">
        <v>0</v>
      </c>
      <c r="I12" s="47">
        <v>6332500</v>
      </c>
      <c r="J12" s="47"/>
    </row>
    <row r="13" spans="1:10" ht="30">
      <c r="A13" s="6" t="s">
        <v>309</v>
      </c>
      <c r="B13" s="189">
        <v>123</v>
      </c>
      <c r="C13" s="45" t="s">
        <v>55</v>
      </c>
      <c r="D13" s="46">
        <v>130</v>
      </c>
      <c r="E13" s="190">
        <f>F13+G13+H13+I13+J13</f>
        <v>90000</v>
      </c>
      <c r="F13" s="47">
        <v>0</v>
      </c>
      <c r="G13" s="47">
        <v>0</v>
      </c>
      <c r="H13" s="6">
        <v>0</v>
      </c>
      <c r="I13" s="47">
        <v>90000</v>
      </c>
      <c r="J13" s="191"/>
    </row>
    <row r="14" spans="1:10" ht="15" hidden="1">
      <c r="A14" s="6" t="s">
        <v>310</v>
      </c>
      <c r="B14" s="189">
        <v>124</v>
      </c>
      <c r="C14" s="45" t="s">
        <v>55</v>
      </c>
      <c r="D14" s="46">
        <v>130</v>
      </c>
      <c r="E14" s="190">
        <f>F14+G14+H14+I14+J14</f>
        <v>0</v>
      </c>
      <c r="F14" s="47">
        <v>0</v>
      </c>
      <c r="G14" s="47"/>
      <c r="H14" s="6"/>
      <c r="I14" s="47">
        <v>0</v>
      </c>
      <c r="J14" s="191"/>
    </row>
    <row r="15" spans="1:10" ht="21" customHeight="1">
      <c r="A15" s="6" t="s">
        <v>311</v>
      </c>
      <c r="B15" s="189">
        <v>124</v>
      </c>
      <c r="C15" s="45" t="s">
        <v>55</v>
      </c>
      <c r="D15" s="46">
        <v>130</v>
      </c>
      <c r="E15" s="190">
        <f>F15+G15+H15+I15+J15</f>
        <v>15000</v>
      </c>
      <c r="F15" s="47">
        <v>0</v>
      </c>
      <c r="G15" s="47">
        <v>0</v>
      </c>
      <c r="H15" s="6">
        <v>0</v>
      </c>
      <c r="I15" s="47">
        <v>15000</v>
      </c>
      <c r="J15" s="191"/>
    </row>
    <row r="16" spans="1:10" ht="75" customHeight="1" hidden="1">
      <c r="A16" s="28" t="s">
        <v>75</v>
      </c>
      <c r="B16" s="10"/>
      <c r="C16" s="29" t="s">
        <v>55</v>
      </c>
      <c r="D16" s="15">
        <v>180</v>
      </c>
      <c r="E16" s="30">
        <f>F16</f>
        <v>0</v>
      </c>
      <c r="F16" s="30">
        <v>0</v>
      </c>
      <c r="G16" s="31" t="s">
        <v>71</v>
      </c>
      <c r="H16" s="18" t="s">
        <v>71</v>
      </c>
      <c r="I16" s="18" t="s">
        <v>71</v>
      </c>
      <c r="J16" s="20" t="s">
        <v>71</v>
      </c>
    </row>
    <row r="17" spans="1:10" ht="75" hidden="1">
      <c r="A17" s="32" t="s">
        <v>75</v>
      </c>
      <c r="B17" s="10"/>
      <c r="C17" s="29" t="s">
        <v>55</v>
      </c>
      <c r="D17" s="15">
        <v>130</v>
      </c>
      <c r="E17" s="30">
        <f>I17</f>
        <v>0</v>
      </c>
      <c r="F17" s="31" t="s">
        <v>71</v>
      </c>
      <c r="G17" s="31" t="s">
        <v>71</v>
      </c>
      <c r="H17" s="31" t="s">
        <v>71</v>
      </c>
      <c r="I17" s="33">
        <v>0</v>
      </c>
      <c r="J17" s="20" t="s">
        <v>71</v>
      </c>
    </row>
    <row r="18" spans="1:10" ht="29.25">
      <c r="A18" s="17" t="s">
        <v>76</v>
      </c>
      <c r="B18" s="18">
        <v>130</v>
      </c>
      <c r="C18" s="18" t="s">
        <v>71</v>
      </c>
      <c r="D18" s="18" t="s">
        <v>71</v>
      </c>
      <c r="E18" s="19">
        <f>I18</f>
        <v>0</v>
      </c>
      <c r="F18" s="18" t="s">
        <v>71</v>
      </c>
      <c r="G18" s="18" t="s">
        <v>71</v>
      </c>
      <c r="H18" s="18" t="s">
        <v>71</v>
      </c>
      <c r="I18" s="78">
        <v>0</v>
      </c>
      <c r="J18" s="20" t="s">
        <v>71</v>
      </c>
    </row>
    <row r="19" spans="1:10" s="26" customFormat="1" ht="75" customHeight="1">
      <c r="A19" s="17" t="s">
        <v>77</v>
      </c>
      <c r="B19" s="18">
        <v>140</v>
      </c>
      <c r="C19" s="18" t="s">
        <v>71</v>
      </c>
      <c r="D19" s="18" t="s">
        <v>71</v>
      </c>
      <c r="E19" s="19">
        <f>I19</f>
        <v>0</v>
      </c>
      <c r="F19" s="34" t="s">
        <v>71</v>
      </c>
      <c r="G19" s="34" t="s">
        <v>71</v>
      </c>
      <c r="H19" s="34" t="s">
        <v>71</v>
      </c>
      <c r="I19" s="78">
        <v>0</v>
      </c>
      <c r="J19" s="35" t="s">
        <v>71</v>
      </c>
    </row>
    <row r="20" spans="1:10" ht="27.75" customHeight="1">
      <c r="A20" s="17" t="s">
        <v>78</v>
      </c>
      <c r="B20" s="36">
        <v>150</v>
      </c>
      <c r="C20" s="37" t="s">
        <v>55</v>
      </c>
      <c r="D20" s="36">
        <v>180</v>
      </c>
      <c r="E20" s="19">
        <f>G20</f>
        <v>1197041</v>
      </c>
      <c r="F20" s="38" t="s">
        <v>71</v>
      </c>
      <c r="G20" s="19">
        <f>1126340+70701</f>
        <v>1197041</v>
      </c>
      <c r="H20" s="31"/>
      <c r="I20" s="34" t="s">
        <v>71</v>
      </c>
      <c r="J20" s="35" t="s">
        <v>71</v>
      </c>
    </row>
    <row r="21" spans="1:10" ht="42.75" customHeight="1">
      <c r="A21" s="17" t="s">
        <v>79</v>
      </c>
      <c r="B21" s="39">
        <v>160</v>
      </c>
      <c r="C21" s="37" t="s">
        <v>55</v>
      </c>
      <c r="D21" s="36">
        <v>180</v>
      </c>
      <c r="E21" s="19">
        <v>0</v>
      </c>
      <c r="F21" s="34" t="s">
        <v>71</v>
      </c>
      <c r="G21" s="34" t="s">
        <v>71</v>
      </c>
      <c r="H21" s="34" t="s">
        <v>71</v>
      </c>
      <c r="I21" s="79">
        <v>0</v>
      </c>
      <c r="J21" s="35"/>
    </row>
    <row r="22" spans="1:10" ht="15">
      <c r="A22" s="17" t="s">
        <v>80</v>
      </c>
      <c r="B22" s="39">
        <v>170</v>
      </c>
      <c r="C22" s="40" t="s">
        <v>71</v>
      </c>
      <c r="D22" s="40" t="s">
        <v>71</v>
      </c>
      <c r="E22" s="19">
        <v>0</v>
      </c>
      <c r="F22" s="34" t="s">
        <v>71</v>
      </c>
      <c r="G22" s="34" t="s">
        <v>71</v>
      </c>
      <c r="H22" s="34" t="s">
        <v>71</v>
      </c>
      <c r="I22" s="79">
        <v>0</v>
      </c>
      <c r="J22" s="35" t="s">
        <v>71</v>
      </c>
    </row>
    <row r="23" spans="1:10" ht="15">
      <c r="A23" s="520"/>
      <c r="B23" s="521"/>
      <c r="C23" s="521"/>
      <c r="D23" s="521"/>
      <c r="E23" s="521"/>
      <c r="F23" s="521"/>
      <c r="G23" s="521"/>
      <c r="H23" s="522"/>
      <c r="I23" s="42"/>
      <c r="J23" s="43"/>
    </row>
    <row r="24" spans="1:10" ht="19.5" customHeight="1">
      <c r="A24" s="17" t="s">
        <v>34</v>
      </c>
      <c r="B24" s="39">
        <v>200</v>
      </c>
      <c r="C24" s="40" t="s">
        <v>71</v>
      </c>
      <c r="D24" s="40" t="s">
        <v>71</v>
      </c>
      <c r="E24" s="51">
        <f>E25+E30+E32+E40+E42+E44+E63+E65+E66+E67+E69+E70+0.01</f>
        <v>40734741.00352113</v>
      </c>
      <c r="F24" s="51">
        <f>F25+F30+F32+F40+F42+F44+F63+F65+F66+F67+F69+F70+0.01</f>
        <v>33100200.003521137</v>
      </c>
      <c r="G24" s="51">
        <f>G25+G30+G32+G40+G42+G44+G63+G65+G66+G67+G69+G70</f>
        <v>1197041</v>
      </c>
      <c r="H24" s="51">
        <f>H25+H30+H32+H40+H42+H44+H63+H65+H66+H67+H69+H70</f>
        <v>0</v>
      </c>
      <c r="I24" s="51">
        <f>I25+I30+I32+I40+I42+I44+I63+I65+I66+I67+I69+I70</f>
        <v>6437500</v>
      </c>
      <c r="J24" s="64">
        <f>J25+J30+J32+J40+J42+J44+J63+J65+J66+J67+J69+J70</f>
        <v>0</v>
      </c>
    </row>
    <row r="25" spans="1:10" ht="19.5" customHeight="1">
      <c r="A25" s="32" t="s">
        <v>35</v>
      </c>
      <c r="B25" s="39">
        <v>210</v>
      </c>
      <c r="C25" s="40" t="s">
        <v>71</v>
      </c>
      <c r="D25" s="40" t="s">
        <v>71</v>
      </c>
      <c r="E25" s="51">
        <f>SUM(E26:E28)-0.01</f>
        <v>28019599.996071134</v>
      </c>
      <c r="F25" s="51">
        <f>SUM(F26:F28)-0.01</f>
        <v>28019599.996071134</v>
      </c>
      <c r="G25" s="51">
        <f>SUM(G26:G28)</f>
        <v>0</v>
      </c>
      <c r="H25" s="51">
        <f>SUM(H26:H28)</f>
        <v>0</v>
      </c>
      <c r="I25" s="51">
        <f>SUM(I26:I28)</f>
        <v>0</v>
      </c>
      <c r="J25" s="64">
        <f>SUM(J26:J28)</f>
        <v>0</v>
      </c>
    </row>
    <row r="26" spans="1:10" s="171" customFormat="1" ht="28.5" customHeight="1">
      <c r="A26" s="32" t="s">
        <v>590</v>
      </c>
      <c r="B26" s="44">
        <v>211</v>
      </c>
      <c r="C26" s="45" t="s">
        <v>56</v>
      </c>
      <c r="D26" s="46">
        <v>211</v>
      </c>
      <c r="E26" s="47">
        <f>SUM(F26:J26)</f>
        <v>21490333.002374146</v>
      </c>
      <c r="F26" s="47">
        <f>'расчеты 4'!I64</f>
        <v>21490333.002374146</v>
      </c>
      <c r="G26" s="47"/>
      <c r="H26" s="34"/>
      <c r="I26" s="47">
        <f>'расчеты 2 и пожертвования'!I18</f>
        <v>0</v>
      </c>
      <c r="J26" s="35"/>
    </row>
    <row r="27" spans="1:13" s="21" customFormat="1" ht="30">
      <c r="A27" s="32" t="s">
        <v>575</v>
      </c>
      <c r="B27" s="363">
        <v>212</v>
      </c>
      <c r="C27" s="363">
        <v>112</v>
      </c>
      <c r="D27" s="363">
        <v>212</v>
      </c>
      <c r="E27" s="364">
        <f>F27+G27+H27+I27</f>
        <v>39100</v>
      </c>
      <c r="F27" s="364">
        <f>'расчеты 4'!F95</f>
        <v>39100</v>
      </c>
      <c r="G27" s="364">
        <v>0</v>
      </c>
      <c r="H27" s="365"/>
      <c r="I27" s="366">
        <v>0</v>
      </c>
      <c r="J27" s="367"/>
      <c r="L27" s="55"/>
      <c r="M27" s="56"/>
    </row>
    <row r="28" spans="1:10" ht="29.25" customHeight="1">
      <c r="A28" s="32" t="s">
        <v>590</v>
      </c>
      <c r="B28" s="44">
        <v>213</v>
      </c>
      <c r="C28" s="45" t="s">
        <v>57</v>
      </c>
      <c r="D28" s="46">
        <v>213</v>
      </c>
      <c r="E28" s="47">
        <f>SUM(F28:J28)</f>
        <v>6490167.00369699</v>
      </c>
      <c r="F28" s="47">
        <f>'расчеты 4'!E114</f>
        <v>6490167.00369699</v>
      </c>
      <c r="G28" s="47"/>
      <c r="H28" s="34"/>
      <c r="I28" s="47">
        <f>'расчеты 2 и пожертвования'!E44</f>
        <v>0</v>
      </c>
      <c r="J28" s="35"/>
    </row>
    <row r="29" spans="1:10" ht="15">
      <c r="A29" s="520"/>
      <c r="B29" s="521"/>
      <c r="C29" s="521"/>
      <c r="D29" s="521"/>
      <c r="E29" s="521"/>
      <c r="F29" s="521"/>
      <c r="G29" s="521"/>
      <c r="H29" s="522"/>
      <c r="I29" s="42"/>
      <c r="J29" s="43"/>
    </row>
    <row r="30" spans="1:10" ht="29.25" customHeight="1">
      <c r="A30" s="17" t="s">
        <v>36</v>
      </c>
      <c r="B30" s="39">
        <v>220</v>
      </c>
      <c r="C30" s="40" t="s">
        <v>71</v>
      </c>
      <c r="D30" s="40" t="s">
        <v>71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64">
        <v>0</v>
      </c>
    </row>
    <row r="31" spans="1:10" ht="6.75" customHeight="1">
      <c r="A31" s="520"/>
      <c r="B31" s="521"/>
      <c r="C31" s="521"/>
      <c r="D31" s="521"/>
      <c r="E31" s="521"/>
      <c r="F31" s="521"/>
      <c r="G31" s="521"/>
      <c r="H31" s="522"/>
      <c r="I31" s="48"/>
      <c r="J31" s="49"/>
    </row>
    <row r="32" spans="1:10" s="26" customFormat="1" ht="32.25" customHeight="1">
      <c r="A32" s="23" t="s">
        <v>37</v>
      </c>
      <c r="B32" s="39">
        <v>230</v>
      </c>
      <c r="C32" s="40" t="s">
        <v>71</v>
      </c>
      <c r="D32" s="40" t="s">
        <v>71</v>
      </c>
      <c r="E32" s="51">
        <f aca="true" t="shared" si="0" ref="E32:J32">SUM(E35:E37)</f>
        <v>813699.99816</v>
      </c>
      <c r="F32" s="51">
        <f t="shared" si="0"/>
        <v>813699.99816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64">
        <f t="shared" si="0"/>
        <v>0</v>
      </c>
    </row>
    <row r="33" spans="1:10" ht="12.75" customHeight="1">
      <c r="A33" s="32" t="s">
        <v>81</v>
      </c>
      <c r="B33" s="39"/>
      <c r="C33" s="44"/>
      <c r="D33" s="44"/>
      <c r="E33" s="47"/>
      <c r="F33" s="47"/>
      <c r="G33" s="47"/>
      <c r="H33" s="6"/>
      <c r="I33" s="47"/>
      <c r="J33" s="50"/>
    </row>
    <row r="34" spans="1:13" s="21" customFormat="1" ht="51" hidden="1">
      <c r="A34" s="368" t="s">
        <v>576</v>
      </c>
      <c r="B34" s="363">
        <v>231</v>
      </c>
      <c r="C34" s="363">
        <v>113</v>
      </c>
      <c r="D34" s="363">
        <v>290</v>
      </c>
      <c r="E34" s="364">
        <f>SUM(F34:J34)</f>
        <v>0</v>
      </c>
      <c r="F34" s="364">
        <v>0</v>
      </c>
      <c r="G34" s="364"/>
      <c r="H34" s="365"/>
      <c r="I34" s="366"/>
      <c r="J34" s="367"/>
      <c r="L34" s="55"/>
      <c r="M34" s="56"/>
    </row>
    <row r="35" spans="1:13" s="21" customFormat="1" ht="30">
      <c r="A35" s="32" t="s">
        <v>583</v>
      </c>
      <c r="B35" s="44">
        <v>232</v>
      </c>
      <c r="C35" s="44">
        <v>851</v>
      </c>
      <c r="D35" s="44">
        <v>290</v>
      </c>
      <c r="E35" s="47">
        <f>SUM(F35:J35)</f>
        <v>803949.99816</v>
      </c>
      <c r="F35" s="47">
        <f>'расчеты 4'!E170</f>
        <v>803949.99816</v>
      </c>
      <c r="G35" s="47"/>
      <c r="H35" s="80"/>
      <c r="I35" s="57"/>
      <c r="J35" s="54"/>
      <c r="L35" s="55"/>
      <c r="M35" s="56"/>
    </row>
    <row r="36" spans="1:13" s="21" customFormat="1" ht="15">
      <c r="A36" s="32" t="s">
        <v>82</v>
      </c>
      <c r="B36" s="44">
        <v>233</v>
      </c>
      <c r="C36" s="44">
        <v>852</v>
      </c>
      <c r="D36" s="44">
        <v>290</v>
      </c>
      <c r="E36" s="47">
        <f>SUM(F36:J36)</f>
        <v>5900</v>
      </c>
      <c r="F36" s="47">
        <f>'расчеты 4'!E184</f>
        <v>5900</v>
      </c>
      <c r="G36" s="47"/>
      <c r="H36" s="80"/>
      <c r="I36" s="57"/>
      <c r="J36" s="54"/>
      <c r="L36" s="55"/>
      <c r="M36" s="56"/>
    </row>
    <row r="37" spans="1:13" s="21" customFormat="1" ht="30">
      <c r="A37" s="32" t="s">
        <v>584</v>
      </c>
      <c r="B37" s="44">
        <v>234</v>
      </c>
      <c r="C37" s="44">
        <v>853</v>
      </c>
      <c r="D37" s="44">
        <v>290</v>
      </c>
      <c r="E37" s="47">
        <f>SUM(F37:J37)</f>
        <v>3850</v>
      </c>
      <c r="F37" s="47">
        <f>'расчеты 4'!E196</f>
        <v>3850</v>
      </c>
      <c r="G37" s="47"/>
      <c r="H37" s="80"/>
      <c r="I37" s="57"/>
      <c r="J37" s="54"/>
      <c r="L37" s="55"/>
      <c r="M37" s="56"/>
    </row>
    <row r="38" spans="1:13" s="21" customFormat="1" ht="14.25" hidden="1">
      <c r="A38" s="368" t="s">
        <v>577</v>
      </c>
      <c r="B38" s="363">
        <v>235</v>
      </c>
      <c r="C38" s="369">
        <v>360</v>
      </c>
      <c r="D38" s="369">
        <v>290</v>
      </c>
      <c r="E38" s="370">
        <f>F38+G38+H38+I38</f>
        <v>0</v>
      </c>
      <c r="F38" s="371">
        <v>0</v>
      </c>
      <c r="G38" s="370"/>
      <c r="H38" s="372"/>
      <c r="I38" s="366"/>
      <c r="J38" s="367"/>
      <c r="L38" s="55"/>
      <c r="M38" s="56"/>
    </row>
    <row r="39" spans="1:10" ht="15">
      <c r="A39" s="517"/>
      <c r="B39" s="518"/>
      <c r="C39" s="518"/>
      <c r="D39" s="518"/>
      <c r="E39" s="518"/>
      <c r="F39" s="518"/>
      <c r="G39" s="518"/>
      <c r="H39" s="519"/>
      <c r="I39" s="57"/>
      <c r="J39" s="58"/>
    </row>
    <row r="40" spans="1:10" s="26" customFormat="1" ht="30" customHeight="1">
      <c r="A40" s="23" t="s">
        <v>83</v>
      </c>
      <c r="B40" s="39">
        <v>240</v>
      </c>
      <c r="C40" s="18" t="s">
        <v>71</v>
      </c>
      <c r="D40" s="18" t="s">
        <v>71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64">
        <v>0</v>
      </c>
    </row>
    <row r="41" spans="1:10" ht="12" customHeight="1">
      <c r="A41" s="517"/>
      <c r="B41" s="518"/>
      <c r="C41" s="518"/>
      <c r="D41" s="518"/>
      <c r="E41" s="518"/>
      <c r="F41" s="518"/>
      <c r="G41" s="518"/>
      <c r="H41" s="519"/>
      <c r="I41" s="57"/>
      <c r="J41" s="58"/>
    </row>
    <row r="42" spans="1:13" s="412" customFormat="1" ht="32.25" customHeight="1">
      <c r="A42" s="23" t="s">
        <v>84</v>
      </c>
      <c r="B42" s="39">
        <v>250</v>
      </c>
      <c r="C42" s="18" t="s">
        <v>71</v>
      </c>
      <c r="D42" s="18" t="s">
        <v>71</v>
      </c>
      <c r="E42" s="51">
        <f>SUM(F42:J42)</f>
        <v>0</v>
      </c>
      <c r="F42" s="51">
        <v>0</v>
      </c>
      <c r="G42" s="51">
        <v>0</v>
      </c>
      <c r="H42" s="51">
        <v>0</v>
      </c>
      <c r="I42" s="51">
        <v>0</v>
      </c>
      <c r="J42" s="64">
        <v>0</v>
      </c>
      <c r="K42" s="59">
        <f>SUM(K43:K43)</f>
        <v>0</v>
      </c>
      <c r="L42" s="411"/>
      <c r="M42" s="411"/>
    </row>
    <row r="43" spans="1:10" ht="12" customHeight="1">
      <c r="A43" s="517"/>
      <c r="B43" s="518"/>
      <c r="C43" s="518"/>
      <c r="D43" s="518"/>
      <c r="E43" s="518"/>
      <c r="F43" s="518"/>
      <c r="G43" s="518"/>
      <c r="H43" s="519"/>
      <c r="I43" s="57"/>
      <c r="J43" s="58"/>
    </row>
    <row r="44" spans="1:10" s="26" customFormat="1" ht="28.5" customHeight="1">
      <c r="A44" s="23" t="s">
        <v>578</v>
      </c>
      <c r="B44" s="39">
        <v>260</v>
      </c>
      <c r="C44" s="40" t="s">
        <v>71</v>
      </c>
      <c r="D44" s="40" t="s">
        <v>71</v>
      </c>
      <c r="E44" s="51">
        <f>SUM(E46:E61)</f>
        <v>11901440.999289999</v>
      </c>
      <c r="F44" s="51">
        <f>SUM(F46:F61)</f>
        <v>4266899.99929</v>
      </c>
      <c r="G44" s="51">
        <f>SUM(G46:G61)</f>
        <v>1197041</v>
      </c>
      <c r="H44" s="51">
        <f>SUM(H46:H59)</f>
        <v>0</v>
      </c>
      <c r="I44" s="51">
        <f>SUM(I46:I61)</f>
        <v>6437500</v>
      </c>
      <c r="J44" s="64">
        <f>SUM(J46:J59)</f>
        <v>0</v>
      </c>
    </row>
    <row r="45" spans="1:10" ht="12.75" customHeight="1">
      <c r="A45" s="32" t="s">
        <v>81</v>
      </c>
      <c r="B45" s="39"/>
      <c r="C45" s="44"/>
      <c r="D45" s="44"/>
      <c r="E45" s="47"/>
      <c r="F45" s="47"/>
      <c r="G45" s="47"/>
      <c r="H45" s="6"/>
      <c r="I45" s="47"/>
      <c r="J45" s="50"/>
    </row>
    <row r="46" spans="1:13" s="21" customFormat="1" ht="15">
      <c r="A46" s="32" t="s">
        <v>62</v>
      </c>
      <c r="B46" s="44">
        <v>261</v>
      </c>
      <c r="C46" s="44">
        <v>244</v>
      </c>
      <c r="D46" s="44">
        <v>221</v>
      </c>
      <c r="E46" s="47">
        <f>SUM(F46:J46)</f>
        <v>120000</v>
      </c>
      <c r="F46" s="47">
        <f>'расчеты 4'!G246</f>
        <v>120000</v>
      </c>
      <c r="G46" s="47"/>
      <c r="H46" s="80"/>
      <c r="I46" s="57"/>
      <c r="J46" s="58"/>
      <c r="L46" s="55"/>
      <c r="M46" s="56"/>
    </row>
    <row r="47" spans="1:13" s="21" customFormat="1" ht="15" hidden="1">
      <c r="A47" s="32" t="s">
        <v>63</v>
      </c>
      <c r="B47" s="44">
        <v>262</v>
      </c>
      <c r="C47" s="44">
        <v>244</v>
      </c>
      <c r="D47" s="44">
        <v>222</v>
      </c>
      <c r="E47" s="47">
        <f aca="true" t="shared" si="1" ref="E47:E59">SUM(F47:J47)</f>
        <v>0</v>
      </c>
      <c r="F47" s="47">
        <f>'расчеты 4'!E254</f>
        <v>0</v>
      </c>
      <c r="G47" s="47"/>
      <c r="H47" s="80"/>
      <c r="I47" s="57"/>
      <c r="J47" s="58"/>
      <c r="L47" s="55"/>
      <c r="M47" s="56"/>
    </row>
    <row r="48" spans="1:13" s="21" customFormat="1" ht="15">
      <c r="A48" s="32" t="s">
        <v>85</v>
      </c>
      <c r="B48" s="44">
        <v>262</v>
      </c>
      <c r="C48" s="44">
        <v>244</v>
      </c>
      <c r="D48" s="44">
        <v>223</v>
      </c>
      <c r="E48" s="47">
        <f t="shared" si="1"/>
        <v>1362400</v>
      </c>
      <c r="F48" s="47">
        <f>'расчеты 4'!G337</f>
        <v>1362400</v>
      </c>
      <c r="G48" s="47"/>
      <c r="H48" s="80"/>
      <c r="I48" s="57"/>
      <c r="J48" s="58"/>
      <c r="L48" s="55"/>
      <c r="M48" s="56"/>
    </row>
    <row r="49" spans="1:13" s="21" customFormat="1" ht="15">
      <c r="A49" s="32" t="s">
        <v>86</v>
      </c>
      <c r="B49" s="44">
        <v>263</v>
      </c>
      <c r="C49" s="44">
        <v>244</v>
      </c>
      <c r="D49" s="44">
        <v>223</v>
      </c>
      <c r="E49" s="47">
        <f t="shared" si="1"/>
        <v>839100</v>
      </c>
      <c r="F49" s="47">
        <f>'расчеты 4'!G336+'расчеты 4'!H336</f>
        <v>839100</v>
      </c>
      <c r="G49" s="47"/>
      <c r="H49" s="80"/>
      <c r="I49" s="57"/>
      <c r="J49" s="58"/>
      <c r="L49" s="55"/>
      <c r="M49" s="56"/>
    </row>
    <row r="50" spans="1:13" s="21" customFormat="1" ht="15">
      <c r="A50" s="32" t="s">
        <v>263</v>
      </c>
      <c r="B50" s="44">
        <v>264</v>
      </c>
      <c r="C50" s="44">
        <v>244</v>
      </c>
      <c r="D50" s="44">
        <v>223</v>
      </c>
      <c r="E50" s="47">
        <f t="shared" si="1"/>
        <v>99100</v>
      </c>
      <c r="F50" s="47">
        <f>'расчеты 4'!G339</f>
        <v>99100</v>
      </c>
      <c r="G50" s="47"/>
      <c r="H50" s="80"/>
      <c r="I50" s="57"/>
      <c r="J50" s="58"/>
      <c r="L50" s="55"/>
      <c r="M50" s="56"/>
    </row>
    <row r="51" spans="1:13" s="21" customFormat="1" ht="15">
      <c r="A51" s="32" t="s">
        <v>87</v>
      </c>
      <c r="B51" s="44">
        <v>265</v>
      </c>
      <c r="C51" s="44">
        <v>244</v>
      </c>
      <c r="D51" s="44">
        <v>223</v>
      </c>
      <c r="E51" s="47">
        <f t="shared" si="1"/>
        <v>104900</v>
      </c>
      <c r="F51" s="47">
        <f>'расчеты 4'!G341</f>
        <v>104900</v>
      </c>
      <c r="G51" s="47"/>
      <c r="H51" s="80"/>
      <c r="I51" s="57"/>
      <c r="J51" s="58"/>
      <c r="L51" s="55"/>
      <c r="M51" s="56"/>
    </row>
    <row r="52" spans="1:13" s="21" customFormat="1" ht="15">
      <c r="A52" s="32" t="s">
        <v>64</v>
      </c>
      <c r="B52" s="44">
        <v>266</v>
      </c>
      <c r="C52" s="44">
        <v>244</v>
      </c>
      <c r="D52" s="44">
        <v>225</v>
      </c>
      <c r="E52" s="47">
        <f t="shared" si="1"/>
        <v>871048.8198899999</v>
      </c>
      <c r="F52" s="47">
        <f>'расчеты 4'!E393</f>
        <v>810999.99989</v>
      </c>
      <c r="G52" s="47">
        <f>'расчет (5)'!E90</f>
        <v>60048.82</v>
      </c>
      <c r="H52" s="80"/>
      <c r="I52" s="57"/>
      <c r="J52" s="58"/>
      <c r="L52" s="55"/>
      <c r="M52" s="56"/>
    </row>
    <row r="53" spans="1:13" s="21" customFormat="1" ht="30">
      <c r="A53" s="32" t="s">
        <v>585</v>
      </c>
      <c r="B53" s="44">
        <v>267</v>
      </c>
      <c r="C53" s="45" t="s">
        <v>586</v>
      </c>
      <c r="D53" s="44">
        <v>225</v>
      </c>
      <c r="E53" s="47">
        <f>SUM(F53:J53)</f>
        <v>0</v>
      </c>
      <c r="F53" s="47"/>
      <c r="G53" s="47">
        <f>'расчет (5)'!E36</f>
        <v>0</v>
      </c>
      <c r="H53" s="80"/>
      <c r="I53" s="57"/>
      <c r="J53" s="58"/>
      <c r="L53" s="55"/>
      <c r="M53" s="56"/>
    </row>
    <row r="54" spans="1:13" s="21" customFormat="1" ht="30">
      <c r="A54" s="32" t="s">
        <v>118</v>
      </c>
      <c r="B54" s="44">
        <v>268</v>
      </c>
      <c r="C54" s="45" t="s">
        <v>119</v>
      </c>
      <c r="D54" s="44">
        <v>225</v>
      </c>
      <c r="E54" s="47">
        <f t="shared" si="1"/>
        <v>1045992.18</v>
      </c>
      <c r="F54" s="47"/>
      <c r="G54" s="47">
        <f>'расчет (5)'!E38</f>
        <v>1045992.18</v>
      </c>
      <c r="H54" s="80"/>
      <c r="I54" s="57"/>
      <c r="J54" s="58"/>
      <c r="L54" s="55"/>
      <c r="M54" s="56"/>
    </row>
    <row r="55" spans="1:13" s="21" customFormat="1" ht="15">
      <c r="A55" s="32" t="s">
        <v>65</v>
      </c>
      <c r="B55" s="44">
        <v>269</v>
      </c>
      <c r="C55" s="44">
        <v>244</v>
      </c>
      <c r="D55" s="44">
        <v>226</v>
      </c>
      <c r="E55" s="47">
        <f t="shared" si="1"/>
        <v>349999.9994</v>
      </c>
      <c r="F55" s="47">
        <f>'расчеты 4'!E418</f>
        <v>349999.9994</v>
      </c>
      <c r="G55" s="47">
        <f>'расчет (5)'!E103</f>
        <v>0</v>
      </c>
      <c r="H55" s="80"/>
      <c r="I55" s="57">
        <f>'расчеты 2 и пожертвования'!E435</f>
        <v>0</v>
      </c>
      <c r="J55" s="58"/>
      <c r="L55" s="55"/>
      <c r="M55" s="56"/>
    </row>
    <row r="56" spans="1:13" s="21" customFormat="1" ht="30">
      <c r="A56" s="32" t="s">
        <v>587</v>
      </c>
      <c r="B56" s="44">
        <v>270</v>
      </c>
      <c r="C56" s="44">
        <v>243</v>
      </c>
      <c r="D56" s="44">
        <v>226</v>
      </c>
      <c r="E56" s="47">
        <f>SUM(F56:J56)</f>
        <v>0</v>
      </c>
      <c r="F56" s="47">
        <v>0</v>
      </c>
      <c r="G56" s="47">
        <f>'расчет (5)'!E49</f>
        <v>0</v>
      </c>
      <c r="H56" s="80"/>
      <c r="I56" s="57"/>
      <c r="J56" s="58"/>
      <c r="L56" s="55"/>
      <c r="M56" s="56"/>
    </row>
    <row r="57" spans="1:13" s="21" customFormat="1" ht="0.75" customHeight="1" hidden="1">
      <c r="A57" s="143" t="s">
        <v>179</v>
      </c>
      <c r="B57" s="44">
        <v>270</v>
      </c>
      <c r="C57" s="44">
        <v>244</v>
      </c>
      <c r="D57" s="44">
        <v>290</v>
      </c>
      <c r="E57" s="47">
        <f t="shared" si="1"/>
        <v>0</v>
      </c>
      <c r="F57" s="47"/>
      <c r="G57" s="47"/>
      <c r="H57" s="80"/>
      <c r="I57" s="57"/>
      <c r="J57" s="58"/>
      <c r="L57" s="55"/>
      <c r="M57" s="56"/>
    </row>
    <row r="58" spans="1:13" s="21" customFormat="1" ht="30">
      <c r="A58" s="32" t="s">
        <v>588</v>
      </c>
      <c r="B58" s="44">
        <v>271</v>
      </c>
      <c r="C58" s="44">
        <v>244</v>
      </c>
      <c r="D58" s="44">
        <v>310</v>
      </c>
      <c r="E58" s="47">
        <f t="shared" si="1"/>
        <v>163584.8</v>
      </c>
      <c r="F58" s="47">
        <f>'расчеты 4'!E450</f>
        <v>163584.8</v>
      </c>
      <c r="G58" s="47">
        <v>0</v>
      </c>
      <c r="H58" s="80"/>
      <c r="I58" s="57"/>
      <c r="J58" s="58"/>
      <c r="L58" s="55"/>
      <c r="M58" s="56"/>
    </row>
    <row r="59" spans="1:13" s="21" customFormat="1" ht="30">
      <c r="A59" s="32" t="s">
        <v>88</v>
      </c>
      <c r="B59" s="44">
        <v>272</v>
      </c>
      <c r="C59" s="44">
        <v>244</v>
      </c>
      <c r="D59" s="44">
        <v>310</v>
      </c>
      <c r="E59" s="47">
        <f t="shared" si="1"/>
        <v>267000</v>
      </c>
      <c r="F59" s="47">
        <f>'расчеты 4'!E465</f>
        <v>176000</v>
      </c>
      <c r="G59" s="47">
        <f>'расчет (5)'!E132</f>
        <v>91000</v>
      </c>
      <c r="H59" s="80"/>
      <c r="I59" s="57">
        <f>'расчеты 2 и пожертвования'!E357</f>
        <v>0</v>
      </c>
      <c r="J59" s="58"/>
      <c r="L59" s="55"/>
      <c r="M59" s="56"/>
    </row>
    <row r="60" spans="1:10" ht="30">
      <c r="A60" s="32" t="s">
        <v>591</v>
      </c>
      <c r="B60" s="44">
        <v>273</v>
      </c>
      <c r="C60" s="44">
        <v>244</v>
      </c>
      <c r="D60" s="44">
        <v>340</v>
      </c>
      <c r="E60" s="47">
        <f>F60+G60+H60+I60</f>
        <v>6411100</v>
      </c>
      <c r="F60" s="47">
        <f>'расчеты 4'!E538</f>
        <v>0</v>
      </c>
      <c r="G60" s="47"/>
      <c r="H60" s="6"/>
      <c r="I60" s="47">
        <f>'расчеты 2 и пожертвования'!E445</f>
        <v>6411100</v>
      </c>
      <c r="J60" s="47"/>
    </row>
    <row r="61" spans="1:10" ht="30">
      <c r="A61" s="32" t="s">
        <v>589</v>
      </c>
      <c r="B61" s="44">
        <v>274</v>
      </c>
      <c r="C61" s="44">
        <v>244</v>
      </c>
      <c r="D61" s="44">
        <v>340</v>
      </c>
      <c r="E61" s="47">
        <f>F61+G61+H61+I61</f>
        <v>267215.2</v>
      </c>
      <c r="F61" s="47">
        <f>'расчеты 4'!E528</f>
        <v>240815.2</v>
      </c>
      <c r="G61" s="47"/>
      <c r="H61" s="6"/>
      <c r="I61" s="47">
        <f>'расчеты 2 и пожертвования'!E424</f>
        <v>26400</v>
      </c>
      <c r="J61" s="47"/>
    </row>
    <row r="62" spans="1:10" ht="15">
      <c r="A62" s="61"/>
      <c r="B62" s="62"/>
      <c r="C62" s="62"/>
      <c r="D62" s="62"/>
      <c r="E62" s="62"/>
      <c r="F62" s="62"/>
      <c r="G62" s="62"/>
      <c r="H62" s="62"/>
      <c r="I62" s="62"/>
      <c r="J62" s="63"/>
    </row>
    <row r="63" spans="1:10" s="26" customFormat="1" ht="29.25">
      <c r="A63" s="23" t="s">
        <v>89</v>
      </c>
      <c r="B63" s="39">
        <v>300</v>
      </c>
      <c r="C63" s="40" t="s">
        <v>71</v>
      </c>
      <c r="D63" s="40" t="s">
        <v>71</v>
      </c>
      <c r="E63" s="51">
        <f aca="true" t="shared" si="2" ref="E63:J63">E65+E66</f>
        <v>0</v>
      </c>
      <c r="F63" s="51">
        <f t="shared" si="2"/>
        <v>0</v>
      </c>
      <c r="G63" s="51">
        <f t="shared" si="2"/>
        <v>0</v>
      </c>
      <c r="H63" s="51">
        <f t="shared" si="2"/>
        <v>0</v>
      </c>
      <c r="I63" s="51">
        <f t="shared" si="2"/>
        <v>0</v>
      </c>
      <c r="J63" s="64">
        <f t="shared" si="2"/>
        <v>0</v>
      </c>
    </row>
    <row r="64" spans="1:10" ht="0.75" customHeight="1" hidden="1">
      <c r="A64" s="61" t="s">
        <v>81</v>
      </c>
      <c r="B64" s="62"/>
      <c r="C64" s="62"/>
      <c r="D64" s="62"/>
      <c r="E64" s="62"/>
      <c r="F64" s="62"/>
      <c r="G64" s="62"/>
      <c r="H64" s="62"/>
      <c r="I64" s="62"/>
      <c r="J64" s="63"/>
    </row>
    <row r="65" spans="1:10" ht="15" hidden="1">
      <c r="A65" s="32" t="s">
        <v>90</v>
      </c>
      <c r="B65" s="39">
        <v>310</v>
      </c>
      <c r="C65" s="44"/>
      <c r="D65" s="44"/>
      <c r="E65" s="47"/>
      <c r="F65" s="47"/>
      <c r="G65" s="47"/>
      <c r="H65" s="6"/>
      <c r="I65" s="47"/>
      <c r="J65" s="50"/>
    </row>
    <row r="66" spans="1:13" s="21" customFormat="1" ht="15" hidden="1">
      <c r="A66" s="32" t="s">
        <v>91</v>
      </c>
      <c r="B66" s="39">
        <v>320</v>
      </c>
      <c r="C66" s="39"/>
      <c r="D66" s="39"/>
      <c r="E66" s="51"/>
      <c r="F66" s="51"/>
      <c r="G66" s="51"/>
      <c r="H66" s="52"/>
      <c r="I66" s="53"/>
      <c r="J66" s="54"/>
      <c r="L66" s="55"/>
      <c r="M66" s="56"/>
    </row>
    <row r="67" spans="1:13" s="21" customFormat="1" ht="14.25">
      <c r="A67" s="23" t="s">
        <v>92</v>
      </c>
      <c r="B67" s="39">
        <v>400</v>
      </c>
      <c r="C67" s="40" t="s">
        <v>71</v>
      </c>
      <c r="D67" s="40" t="s">
        <v>71</v>
      </c>
      <c r="E67" s="51">
        <f aca="true" t="shared" si="3" ref="E67:J67">E69+E70</f>
        <v>0</v>
      </c>
      <c r="F67" s="51">
        <f t="shared" si="3"/>
        <v>0</v>
      </c>
      <c r="G67" s="51">
        <f t="shared" si="3"/>
        <v>0</v>
      </c>
      <c r="H67" s="51">
        <f t="shared" si="3"/>
        <v>0</v>
      </c>
      <c r="I67" s="51">
        <f t="shared" si="3"/>
        <v>0</v>
      </c>
      <c r="J67" s="64">
        <f t="shared" si="3"/>
        <v>0</v>
      </c>
      <c r="L67" s="55"/>
      <c r="M67" s="56"/>
    </row>
    <row r="68" spans="1:10" ht="15" hidden="1">
      <c r="A68" s="61" t="s">
        <v>81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3" s="21" customFormat="1" ht="15" hidden="1">
      <c r="A69" s="32" t="s">
        <v>93</v>
      </c>
      <c r="B69" s="39">
        <v>410</v>
      </c>
      <c r="C69" s="39"/>
      <c r="D69" s="39"/>
      <c r="E69" s="51"/>
      <c r="F69" s="51"/>
      <c r="G69" s="51"/>
      <c r="H69" s="52"/>
      <c r="I69" s="53"/>
      <c r="J69" s="54"/>
      <c r="L69" s="55"/>
      <c r="M69" s="56"/>
    </row>
    <row r="70" spans="1:13" s="21" customFormat="1" ht="15" hidden="1">
      <c r="A70" s="32" t="s">
        <v>94</v>
      </c>
      <c r="B70" s="39">
        <v>420</v>
      </c>
      <c r="C70" s="39"/>
      <c r="D70" s="39"/>
      <c r="E70" s="51"/>
      <c r="F70" s="51"/>
      <c r="G70" s="51"/>
      <c r="H70" s="52"/>
      <c r="I70" s="53"/>
      <c r="J70" s="54"/>
      <c r="L70" s="55"/>
      <c r="M70" s="56"/>
    </row>
    <row r="71" spans="1:13" s="21" customFormat="1" ht="14.25">
      <c r="A71" s="17" t="s">
        <v>38</v>
      </c>
      <c r="B71" s="39">
        <v>500</v>
      </c>
      <c r="C71" s="40" t="s">
        <v>71</v>
      </c>
      <c r="D71" s="40" t="s">
        <v>71</v>
      </c>
      <c r="E71" s="51">
        <v>0</v>
      </c>
      <c r="F71" s="51">
        <v>0</v>
      </c>
      <c r="G71" s="51">
        <v>0</v>
      </c>
      <c r="H71" s="51">
        <f>H73+H74</f>
        <v>0</v>
      </c>
      <c r="I71" s="53">
        <f>I73+I74</f>
        <v>0</v>
      </c>
      <c r="J71" s="53">
        <f>J73+J74</f>
        <v>0</v>
      </c>
      <c r="L71" s="55"/>
      <c r="M71" s="56"/>
    </row>
    <row r="72" spans="1:10" ht="15" hidden="1">
      <c r="A72" s="61" t="s">
        <v>6</v>
      </c>
      <c r="B72" s="62"/>
      <c r="C72" s="62"/>
      <c r="D72" s="62"/>
      <c r="E72" s="62"/>
      <c r="F72" s="62"/>
      <c r="G72" s="62"/>
      <c r="H72" s="62"/>
      <c r="I72" s="62"/>
      <c r="J72" s="63"/>
    </row>
    <row r="73" spans="1:13" s="21" customFormat="1" ht="30" hidden="1">
      <c r="A73" s="32" t="s">
        <v>116</v>
      </c>
      <c r="B73" s="44">
        <v>501</v>
      </c>
      <c r="C73" s="40" t="s">
        <v>71</v>
      </c>
      <c r="D73" s="40" t="s">
        <v>71</v>
      </c>
      <c r="E73" s="47">
        <f>SUM(F73:J73)</f>
        <v>0</v>
      </c>
      <c r="F73" s="31" t="s">
        <v>71</v>
      </c>
      <c r="G73" s="31" t="s">
        <v>71</v>
      </c>
      <c r="H73" s="80"/>
      <c r="I73" s="57">
        <v>0</v>
      </c>
      <c r="J73" s="58"/>
      <c r="L73" s="55"/>
      <c r="M73" s="56"/>
    </row>
    <row r="74" spans="1:13" s="21" customFormat="1" ht="15" hidden="1">
      <c r="A74" s="32" t="s">
        <v>117</v>
      </c>
      <c r="B74" s="44">
        <v>502</v>
      </c>
      <c r="C74" s="40" t="s">
        <v>71</v>
      </c>
      <c r="D74" s="40" t="s">
        <v>71</v>
      </c>
      <c r="E74" s="47">
        <f>SUM(F74:J74)</f>
        <v>0</v>
      </c>
      <c r="F74" s="31" t="s">
        <v>71</v>
      </c>
      <c r="G74" s="31" t="s">
        <v>71</v>
      </c>
      <c r="H74" s="80"/>
      <c r="I74" s="57">
        <v>0</v>
      </c>
      <c r="J74" s="58"/>
      <c r="L74" s="55"/>
      <c r="M74" s="56"/>
    </row>
    <row r="75" spans="1:13" s="21" customFormat="1" ht="14.25">
      <c r="A75" s="17" t="s">
        <v>39</v>
      </c>
      <c r="B75" s="39">
        <v>600</v>
      </c>
      <c r="C75" s="40" t="s">
        <v>71</v>
      </c>
      <c r="D75" s="40" t="s">
        <v>71</v>
      </c>
      <c r="E75" s="51"/>
      <c r="F75" s="51">
        <f>E7-E24</f>
        <v>-0.0035211294889450073</v>
      </c>
      <c r="G75" s="51"/>
      <c r="H75" s="51"/>
      <c r="I75" s="53"/>
      <c r="J75" s="53"/>
      <c r="L75" s="55"/>
      <c r="M75" s="56"/>
    </row>
    <row r="76" ht="15">
      <c r="A76" s="65"/>
    </row>
    <row r="77" ht="15" customHeight="1">
      <c r="A77" s="65"/>
    </row>
    <row r="78" ht="15">
      <c r="A78" s="65"/>
    </row>
    <row r="79" ht="16.5" customHeight="1">
      <c r="A79" s="67"/>
    </row>
    <row r="82" spans="2:4" ht="15">
      <c r="B82" s="11" t="s">
        <v>95</v>
      </c>
      <c r="C82" s="11" t="s">
        <v>95</v>
      </c>
      <c r="D82" s="11" t="s">
        <v>95</v>
      </c>
    </row>
  </sheetData>
  <sheetProtection/>
  <mergeCells count="18">
    <mergeCell ref="A1:J1"/>
    <mergeCell ref="A3:A5"/>
    <mergeCell ref="B3:B5"/>
    <mergeCell ref="C3:D4"/>
    <mergeCell ref="E3:J3"/>
    <mergeCell ref="E4:E5"/>
    <mergeCell ref="F4:F5"/>
    <mergeCell ref="G4:G5"/>
    <mergeCell ref="H4:H5"/>
    <mergeCell ref="I4:J4"/>
    <mergeCell ref="A43:H43"/>
    <mergeCell ref="A31:H31"/>
    <mergeCell ref="A39:H39"/>
    <mergeCell ref="A41:H41"/>
    <mergeCell ref="C6:D6"/>
    <mergeCell ref="A8:J8"/>
    <mergeCell ref="A23:H23"/>
    <mergeCell ref="A29:H29"/>
  </mergeCells>
  <printOptions/>
  <pageMargins left="0.7874015748031497" right="0.1968503937007874" top="0.2362204724409449" bottom="0.1968503937007874" header="0.1968503937007874" footer="0.1968503937007874"/>
  <pageSetup horizontalDpi="600" verticalDpi="600" orientation="portrait" paperSize="9" scale="56" r:id="rId1"/>
  <colBreaks count="1" manualBreakCount="1">
    <brk id="10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80" zoomScaleNormal="75" zoomScaleSheetLayoutView="80" zoomScalePageLayoutView="0" workbookViewId="0" topLeftCell="A20">
      <selection activeCell="A1" sqref="A1:IV16384"/>
    </sheetView>
  </sheetViews>
  <sheetFormatPr defaultColWidth="9.140625" defaultRowHeight="15"/>
  <cols>
    <col min="1" max="1" width="41.8515625" style="8" customWidth="1"/>
    <col min="2" max="2" width="7.00390625" style="11" customWidth="1"/>
    <col min="3" max="4" width="7.8515625" style="11" customWidth="1"/>
    <col min="5" max="6" width="16.00390625" style="66" customWidth="1"/>
    <col min="7" max="7" width="23.7109375" style="8" customWidth="1"/>
    <col min="8" max="8" width="16.7109375" style="8" customWidth="1"/>
    <col min="9" max="10" width="13.7109375" style="8" customWidth="1"/>
    <col min="11" max="11" width="1.421875" style="8" customWidth="1"/>
    <col min="12" max="12" width="13.28125" style="8" customWidth="1"/>
    <col min="13" max="13" width="13.57421875" style="8" customWidth="1"/>
    <col min="14" max="16384" width="9.140625" style="8" customWidth="1"/>
  </cols>
  <sheetData>
    <row r="1" spans="1:10" ht="15">
      <c r="A1" s="528" t="s">
        <v>408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0.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9.5" customHeight="1">
      <c r="A3" s="530" t="s">
        <v>66</v>
      </c>
      <c r="B3" s="533" t="s">
        <v>2</v>
      </c>
      <c r="C3" s="536" t="s">
        <v>29</v>
      </c>
      <c r="D3" s="537"/>
      <c r="E3" s="539" t="s">
        <v>186</v>
      </c>
      <c r="F3" s="540"/>
      <c r="G3" s="540"/>
      <c r="H3" s="540"/>
      <c r="I3" s="540"/>
      <c r="J3" s="541"/>
    </row>
    <row r="4" spans="1:10" s="11" customFormat="1" ht="83.25" customHeight="1">
      <c r="A4" s="531"/>
      <c r="B4" s="534"/>
      <c r="C4" s="535"/>
      <c r="D4" s="538"/>
      <c r="E4" s="542" t="s">
        <v>67</v>
      </c>
      <c r="F4" s="544" t="s">
        <v>68</v>
      </c>
      <c r="G4" s="544" t="s">
        <v>69</v>
      </c>
      <c r="H4" s="545" t="s">
        <v>70</v>
      </c>
      <c r="I4" s="547" t="s">
        <v>31</v>
      </c>
      <c r="J4" s="548"/>
    </row>
    <row r="5" spans="1:10" ht="45" customHeight="1">
      <c r="A5" s="532"/>
      <c r="B5" s="535"/>
      <c r="C5" s="4" t="s">
        <v>53</v>
      </c>
      <c r="D5" s="4" t="s">
        <v>54</v>
      </c>
      <c r="E5" s="543"/>
      <c r="F5" s="544"/>
      <c r="G5" s="544"/>
      <c r="H5" s="546"/>
      <c r="I5" s="4" t="s">
        <v>30</v>
      </c>
      <c r="J5" s="13" t="s">
        <v>32</v>
      </c>
    </row>
    <row r="6" spans="1:10" ht="15.75" customHeight="1">
      <c r="A6" s="12">
        <v>1</v>
      </c>
      <c r="B6" s="14">
        <v>2</v>
      </c>
      <c r="C6" s="523">
        <v>3</v>
      </c>
      <c r="D6" s="52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6">
        <v>9</v>
      </c>
    </row>
    <row r="7" spans="1:12" s="21" customFormat="1" ht="25.5" customHeight="1">
      <c r="A7" s="17" t="s">
        <v>33</v>
      </c>
      <c r="B7" s="18">
        <v>100</v>
      </c>
      <c r="C7" s="18" t="s">
        <v>71</v>
      </c>
      <c r="D7" s="18" t="s">
        <v>71</v>
      </c>
      <c r="E7" s="19">
        <f>F7+G7+H7+I7</f>
        <v>30704715</v>
      </c>
      <c r="F7" s="19">
        <f>F10</f>
        <v>30694700</v>
      </c>
      <c r="G7" s="19">
        <f>G19</f>
        <v>10015</v>
      </c>
      <c r="H7" s="19">
        <f>H19</f>
        <v>0</v>
      </c>
      <c r="I7" s="19">
        <f>I10</f>
        <v>0</v>
      </c>
      <c r="J7" s="20" t="s">
        <v>71</v>
      </c>
      <c r="L7" s="22"/>
    </row>
    <row r="8" spans="1:10" ht="12.75" customHeight="1">
      <c r="A8" s="525" t="s">
        <v>72</v>
      </c>
      <c r="B8" s="526"/>
      <c r="C8" s="526"/>
      <c r="D8" s="526"/>
      <c r="E8" s="526"/>
      <c r="F8" s="526"/>
      <c r="G8" s="526"/>
      <c r="H8" s="526"/>
      <c r="I8" s="526"/>
      <c r="J8" s="527"/>
    </row>
    <row r="9" spans="1:10" s="21" customFormat="1" ht="16.5" customHeight="1">
      <c r="A9" s="23" t="s">
        <v>73</v>
      </c>
      <c r="B9" s="18">
        <v>110</v>
      </c>
      <c r="C9" s="18" t="s">
        <v>71</v>
      </c>
      <c r="D9" s="18" t="s">
        <v>71</v>
      </c>
      <c r="E9" s="19">
        <f>I9</f>
        <v>0</v>
      </c>
      <c r="F9" s="18" t="s">
        <v>71</v>
      </c>
      <c r="G9" s="18" t="s">
        <v>71</v>
      </c>
      <c r="H9" s="18" t="s">
        <v>71</v>
      </c>
      <c r="I9" s="24">
        <v>0</v>
      </c>
      <c r="J9" s="20" t="s">
        <v>71</v>
      </c>
    </row>
    <row r="10" spans="1:12" s="26" customFormat="1" ht="30" customHeight="1">
      <c r="A10" s="23" t="s">
        <v>74</v>
      </c>
      <c r="B10" s="18">
        <v>120</v>
      </c>
      <c r="C10" s="18" t="s">
        <v>71</v>
      </c>
      <c r="D10" s="18" t="s">
        <v>71</v>
      </c>
      <c r="E10" s="19">
        <f>F10+I10+J10</f>
        <v>30694700</v>
      </c>
      <c r="F10" s="19">
        <f>11197300+19497400</f>
        <v>30694700</v>
      </c>
      <c r="G10" s="18" t="s">
        <v>71</v>
      </c>
      <c r="H10" s="18" t="s">
        <v>71</v>
      </c>
      <c r="I10" s="24">
        <f>I11+I12+I14</f>
        <v>0</v>
      </c>
      <c r="J10" s="25"/>
      <c r="L10" s="27"/>
    </row>
    <row r="11" spans="1:10" ht="60">
      <c r="A11" s="6" t="s">
        <v>308</v>
      </c>
      <c r="B11" s="189">
        <v>121</v>
      </c>
      <c r="C11" s="45" t="s">
        <v>55</v>
      </c>
      <c r="D11" s="46">
        <v>130</v>
      </c>
      <c r="E11" s="190">
        <f>F11+G11+H11+I11+J11</f>
        <v>0</v>
      </c>
      <c r="F11" s="47">
        <v>0</v>
      </c>
      <c r="G11" s="47">
        <v>0</v>
      </c>
      <c r="H11" s="6">
        <v>0</v>
      </c>
      <c r="I11" s="47">
        <v>0</v>
      </c>
      <c r="J11" s="191"/>
    </row>
    <row r="12" spans="1:10" ht="30">
      <c r="A12" s="6" t="s">
        <v>309</v>
      </c>
      <c r="B12" s="189">
        <v>122</v>
      </c>
      <c r="C12" s="45" t="s">
        <v>55</v>
      </c>
      <c r="D12" s="46">
        <v>130</v>
      </c>
      <c r="E12" s="190">
        <f>F12+G12+H12+I12+J12</f>
        <v>0</v>
      </c>
      <c r="F12" s="47">
        <v>0</v>
      </c>
      <c r="G12" s="47">
        <v>0</v>
      </c>
      <c r="H12" s="6">
        <v>0</v>
      </c>
      <c r="I12" s="47">
        <v>0</v>
      </c>
      <c r="J12" s="191"/>
    </row>
    <row r="13" spans="1:10" ht="15" hidden="1">
      <c r="A13" s="6" t="s">
        <v>310</v>
      </c>
      <c r="B13" s="189">
        <v>124</v>
      </c>
      <c r="C13" s="45" t="s">
        <v>55</v>
      </c>
      <c r="D13" s="46">
        <v>130</v>
      </c>
      <c r="E13" s="190">
        <f>F13+G13+H13+I13+J13</f>
        <v>0</v>
      </c>
      <c r="F13" s="47">
        <v>0</v>
      </c>
      <c r="G13" s="47"/>
      <c r="H13" s="6"/>
      <c r="I13" s="47">
        <v>0</v>
      </c>
      <c r="J13" s="191"/>
    </row>
    <row r="14" spans="1:10" ht="21" customHeight="1">
      <c r="A14" s="6" t="s">
        <v>311</v>
      </c>
      <c r="B14" s="189">
        <v>123</v>
      </c>
      <c r="C14" s="45" t="s">
        <v>55</v>
      </c>
      <c r="D14" s="46">
        <v>130</v>
      </c>
      <c r="E14" s="190">
        <f>F14+G14+H14+I14+J14</f>
        <v>0</v>
      </c>
      <c r="F14" s="47">
        <v>0</v>
      </c>
      <c r="G14" s="47">
        <v>0</v>
      </c>
      <c r="H14" s="6">
        <v>0</v>
      </c>
      <c r="I14" s="47">
        <v>0</v>
      </c>
      <c r="J14" s="191"/>
    </row>
    <row r="15" spans="1:10" ht="75" customHeight="1" hidden="1">
      <c r="A15" s="28" t="s">
        <v>75</v>
      </c>
      <c r="B15" s="10"/>
      <c r="C15" s="29" t="s">
        <v>55</v>
      </c>
      <c r="D15" s="15">
        <v>180</v>
      </c>
      <c r="E15" s="30">
        <f>F15</f>
        <v>0</v>
      </c>
      <c r="F15" s="30">
        <v>0</v>
      </c>
      <c r="G15" s="31" t="s">
        <v>71</v>
      </c>
      <c r="H15" s="18" t="s">
        <v>71</v>
      </c>
      <c r="I15" s="47">
        <v>15000</v>
      </c>
      <c r="J15" s="20" t="s">
        <v>71</v>
      </c>
    </row>
    <row r="16" spans="1:10" ht="75" hidden="1">
      <c r="A16" s="32" t="s">
        <v>75</v>
      </c>
      <c r="B16" s="10"/>
      <c r="C16" s="29" t="s">
        <v>55</v>
      </c>
      <c r="D16" s="15">
        <v>130</v>
      </c>
      <c r="E16" s="30" t="str">
        <f>I16</f>
        <v>Х</v>
      </c>
      <c r="F16" s="31" t="s">
        <v>71</v>
      </c>
      <c r="G16" s="31" t="s">
        <v>71</v>
      </c>
      <c r="H16" s="31" t="s">
        <v>71</v>
      </c>
      <c r="I16" s="18" t="s">
        <v>71</v>
      </c>
      <c r="J16" s="20" t="s">
        <v>71</v>
      </c>
    </row>
    <row r="17" spans="1:10" ht="29.25">
      <c r="A17" s="17" t="s">
        <v>76</v>
      </c>
      <c r="B17" s="18">
        <v>130</v>
      </c>
      <c r="C17" s="18" t="s">
        <v>71</v>
      </c>
      <c r="D17" s="18" t="s">
        <v>71</v>
      </c>
      <c r="E17" s="19">
        <f>I17</f>
        <v>0</v>
      </c>
      <c r="F17" s="18" t="s">
        <v>71</v>
      </c>
      <c r="G17" s="18" t="s">
        <v>71</v>
      </c>
      <c r="H17" s="18" t="s">
        <v>71</v>
      </c>
      <c r="I17" s="78">
        <v>0</v>
      </c>
      <c r="J17" s="20" t="s">
        <v>71</v>
      </c>
    </row>
    <row r="18" spans="1:10" s="26" customFormat="1" ht="75" customHeight="1">
      <c r="A18" s="17" t="s">
        <v>77</v>
      </c>
      <c r="B18" s="18">
        <v>140</v>
      </c>
      <c r="C18" s="18" t="s">
        <v>71</v>
      </c>
      <c r="D18" s="18" t="s">
        <v>71</v>
      </c>
      <c r="E18" s="19">
        <f>I18</f>
        <v>0</v>
      </c>
      <c r="F18" s="34" t="s">
        <v>71</v>
      </c>
      <c r="G18" s="34" t="s">
        <v>71</v>
      </c>
      <c r="H18" s="34" t="s">
        <v>71</v>
      </c>
      <c r="I18" s="78">
        <v>0</v>
      </c>
      <c r="J18" s="35" t="s">
        <v>71</v>
      </c>
    </row>
    <row r="19" spans="1:10" ht="27.75" customHeight="1">
      <c r="A19" s="17" t="s">
        <v>78</v>
      </c>
      <c r="B19" s="36">
        <v>150</v>
      </c>
      <c r="C19" s="37" t="s">
        <v>55</v>
      </c>
      <c r="D19" s="36">
        <v>180</v>
      </c>
      <c r="E19" s="19">
        <f>G19</f>
        <v>10015</v>
      </c>
      <c r="F19" s="38" t="s">
        <v>71</v>
      </c>
      <c r="G19" s="19">
        <f>10015</f>
        <v>10015</v>
      </c>
      <c r="H19" s="31"/>
      <c r="I19" s="78">
        <v>0</v>
      </c>
      <c r="J19" s="35" t="s">
        <v>71</v>
      </c>
    </row>
    <row r="20" spans="1:10" ht="42.75" customHeight="1">
      <c r="A20" s="17" t="s">
        <v>79</v>
      </c>
      <c r="B20" s="39">
        <v>160</v>
      </c>
      <c r="C20" s="37" t="s">
        <v>55</v>
      </c>
      <c r="D20" s="36">
        <v>180</v>
      </c>
      <c r="E20" s="19">
        <v>0</v>
      </c>
      <c r="F20" s="34" t="s">
        <v>71</v>
      </c>
      <c r="G20" s="34" t="s">
        <v>71</v>
      </c>
      <c r="H20" s="34" t="s">
        <v>71</v>
      </c>
      <c r="I20" s="34" t="s">
        <v>71</v>
      </c>
      <c r="J20" s="35"/>
    </row>
    <row r="21" spans="1:10" ht="15">
      <c r="A21" s="17" t="s">
        <v>80</v>
      </c>
      <c r="B21" s="39">
        <v>170</v>
      </c>
      <c r="C21" s="40" t="s">
        <v>71</v>
      </c>
      <c r="D21" s="40" t="s">
        <v>71</v>
      </c>
      <c r="E21" s="19">
        <v>0</v>
      </c>
      <c r="F21" s="34" t="s">
        <v>71</v>
      </c>
      <c r="G21" s="34" t="s">
        <v>71</v>
      </c>
      <c r="H21" s="34" t="s">
        <v>71</v>
      </c>
      <c r="I21" s="79">
        <v>0</v>
      </c>
      <c r="J21" s="35" t="s">
        <v>71</v>
      </c>
    </row>
    <row r="22" spans="1:10" ht="15">
      <c r="A22" s="520"/>
      <c r="B22" s="521"/>
      <c r="C22" s="521"/>
      <c r="D22" s="521"/>
      <c r="E22" s="521"/>
      <c r="F22" s="521"/>
      <c r="G22" s="521"/>
      <c r="H22" s="522"/>
      <c r="I22" s="79"/>
      <c r="J22" s="43"/>
    </row>
    <row r="23" spans="1:10" ht="19.5" customHeight="1">
      <c r="A23" s="17" t="s">
        <v>34</v>
      </c>
      <c r="B23" s="39">
        <v>200</v>
      </c>
      <c r="C23" s="40" t="s">
        <v>71</v>
      </c>
      <c r="D23" s="40" t="s">
        <v>71</v>
      </c>
      <c r="E23" s="51">
        <f aca="true" t="shared" si="0" ref="E23:J23">E24+E29+E31+E39+E41+E43+E62+E64+E65+E66+E68+E69</f>
        <v>30704715</v>
      </c>
      <c r="F23" s="51">
        <f t="shared" si="0"/>
        <v>30694700</v>
      </c>
      <c r="G23" s="51">
        <f t="shared" si="0"/>
        <v>10015</v>
      </c>
      <c r="H23" s="51">
        <f t="shared" si="0"/>
        <v>0</v>
      </c>
      <c r="I23" s="51">
        <f t="shared" si="0"/>
        <v>0</v>
      </c>
      <c r="J23" s="64">
        <f t="shared" si="0"/>
        <v>0</v>
      </c>
    </row>
    <row r="24" spans="1:10" ht="19.5" customHeight="1">
      <c r="A24" s="32" t="s">
        <v>35</v>
      </c>
      <c r="B24" s="39">
        <v>210</v>
      </c>
      <c r="C24" s="40" t="s">
        <v>71</v>
      </c>
      <c r="D24" s="40" t="s">
        <v>71</v>
      </c>
      <c r="E24" s="51">
        <f aca="true" t="shared" si="1" ref="E24:J24">SUM(E25:E27)</f>
        <v>28019600</v>
      </c>
      <c r="F24" s="51">
        <f t="shared" si="1"/>
        <v>28019600</v>
      </c>
      <c r="G24" s="51">
        <f t="shared" si="1"/>
        <v>0</v>
      </c>
      <c r="H24" s="51">
        <f t="shared" si="1"/>
        <v>0</v>
      </c>
      <c r="I24" s="51">
        <f>SUM(I25:I27)</f>
        <v>0</v>
      </c>
      <c r="J24" s="64">
        <f t="shared" si="1"/>
        <v>0</v>
      </c>
    </row>
    <row r="25" spans="1:10" s="171" customFormat="1" ht="28.5" customHeight="1">
      <c r="A25" s="32" t="s">
        <v>590</v>
      </c>
      <c r="B25" s="44">
        <v>211</v>
      </c>
      <c r="C25" s="45" t="s">
        <v>56</v>
      </c>
      <c r="D25" s="46">
        <v>211</v>
      </c>
      <c r="E25" s="47">
        <f>SUM(F25:J25)</f>
        <v>21490333</v>
      </c>
      <c r="F25" s="47">
        <v>21490333</v>
      </c>
      <c r="G25" s="47"/>
      <c r="H25" s="34"/>
      <c r="I25" s="47">
        <f>'расчеты 2 и пожертвования'!I17</f>
        <v>0</v>
      </c>
      <c r="J25" s="35"/>
    </row>
    <row r="26" spans="1:13" s="21" customFormat="1" ht="26.25" customHeight="1">
      <c r="A26" s="32" t="s">
        <v>575</v>
      </c>
      <c r="B26" s="363">
        <v>212</v>
      </c>
      <c r="C26" s="363">
        <v>112</v>
      </c>
      <c r="D26" s="363">
        <v>212</v>
      </c>
      <c r="E26" s="364">
        <f>F26+G26+H26+I26</f>
        <v>39100</v>
      </c>
      <c r="F26" s="364">
        <v>39100</v>
      </c>
      <c r="G26" s="364">
        <v>0</v>
      </c>
      <c r="H26" s="365"/>
      <c r="I26" s="366">
        <v>0</v>
      </c>
      <c r="J26" s="367"/>
      <c r="L26" s="55"/>
      <c r="M26" s="56"/>
    </row>
    <row r="27" spans="1:10" ht="29.25" customHeight="1">
      <c r="A27" s="32" t="s">
        <v>590</v>
      </c>
      <c r="B27" s="44">
        <v>213</v>
      </c>
      <c r="C27" s="45" t="s">
        <v>57</v>
      </c>
      <c r="D27" s="46">
        <v>213</v>
      </c>
      <c r="E27" s="47">
        <f>SUM(F27:J27)</f>
        <v>6490167</v>
      </c>
      <c r="F27" s="47">
        <v>6490167</v>
      </c>
      <c r="G27" s="47"/>
      <c r="H27" s="34"/>
      <c r="I27" s="47">
        <f>'расчеты 2 и пожертвования'!E43</f>
        <v>0</v>
      </c>
      <c r="J27" s="35"/>
    </row>
    <row r="28" spans="1:10" ht="15">
      <c r="A28" s="520"/>
      <c r="B28" s="521"/>
      <c r="C28" s="521"/>
      <c r="D28" s="521"/>
      <c r="E28" s="521"/>
      <c r="F28" s="521"/>
      <c r="G28" s="521"/>
      <c r="H28" s="522"/>
      <c r="I28" s="42"/>
      <c r="J28" s="43"/>
    </row>
    <row r="29" spans="1:10" ht="29.25" customHeight="1">
      <c r="A29" s="17" t="s">
        <v>36</v>
      </c>
      <c r="B29" s="39">
        <v>220</v>
      </c>
      <c r="C29" s="40" t="s">
        <v>71</v>
      </c>
      <c r="D29" s="40" t="s">
        <v>71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64">
        <v>0</v>
      </c>
    </row>
    <row r="30" spans="1:10" ht="6.75" customHeight="1">
      <c r="A30" s="520"/>
      <c r="B30" s="521"/>
      <c r="C30" s="521"/>
      <c r="D30" s="521"/>
      <c r="E30" s="521"/>
      <c r="F30" s="521"/>
      <c r="G30" s="521"/>
      <c r="H30" s="522"/>
      <c r="I30" s="48"/>
      <c r="J30" s="49"/>
    </row>
    <row r="31" spans="1:10" s="26" customFormat="1" ht="32.25" customHeight="1">
      <c r="A31" s="23" t="s">
        <v>37</v>
      </c>
      <c r="B31" s="39">
        <v>230</v>
      </c>
      <c r="C31" s="40" t="s">
        <v>71</v>
      </c>
      <c r="D31" s="40" t="s">
        <v>71</v>
      </c>
      <c r="E31" s="51">
        <f aca="true" t="shared" si="2" ref="E31:J31">SUM(E34:E36)</f>
        <v>813700</v>
      </c>
      <c r="F31" s="51">
        <f t="shared" si="2"/>
        <v>813700</v>
      </c>
      <c r="G31" s="51">
        <f t="shared" si="2"/>
        <v>0</v>
      </c>
      <c r="H31" s="51">
        <f t="shared" si="2"/>
        <v>0</v>
      </c>
      <c r="I31" s="51">
        <f t="shared" si="2"/>
        <v>0</v>
      </c>
      <c r="J31" s="64">
        <f t="shared" si="2"/>
        <v>0</v>
      </c>
    </row>
    <row r="32" spans="1:10" ht="12.75" customHeight="1">
      <c r="A32" s="32" t="s">
        <v>81</v>
      </c>
      <c r="B32" s="39"/>
      <c r="C32" s="44"/>
      <c r="D32" s="44"/>
      <c r="E32" s="47"/>
      <c r="F32" s="47"/>
      <c r="G32" s="47"/>
      <c r="H32" s="6"/>
      <c r="I32" s="47"/>
      <c r="J32" s="50"/>
    </row>
    <row r="33" spans="1:13" s="21" customFormat="1" ht="49.5" customHeight="1" hidden="1">
      <c r="A33" s="368" t="s">
        <v>576</v>
      </c>
      <c r="B33" s="363">
        <v>231</v>
      </c>
      <c r="C33" s="363">
        <v>113</v>
      </c>
      <c r="D33" s="363">
        <v>290</v>
      </c>
      <c r="E33" s="364">
        <f>SUM(F33:J33)</f>
        <v>0</v>
      </c>
      <c r="F33" s="364">
        <v>0</v>
      </c>
      <c r="G33" s="364"/>
      <c r="H33" s="365"/>
      <c r="I33" s="366"/>
      <c r="J33" s="367"/>
      <c r="L33" s="55"/>
      <c r="M33" s="56"/>
    </row>
    <row r="34" spans="1:13" s="21" customFormat="1" ht="30">
      <c r="A34" s="32" t="s">
        <v>583</v>
      </c>
      <c r="B34" s="44">
        <v>232</v>
      </c>
      <c r="C34" s="44">
        <v>851</v>
      </c>
      <c r="D34" s="44">
        <v>290</v>
      </c>
      <c r="E34" s="47">
        <f>SUM(F34:J34)</f>
        <v>803950</v>
      </c>
      <c r="F34" s="47">
        <v>803950</v>
      </c>
      <c r="G34" s="47"/>
      <c r="H34" s="80"/>
      <c r="I34" s="57"/>
      <c r="J34" s="54"/>
      <c r="L34" s="55"/>
      <c r="M34" s="56"/>
    </row>
    <row r="35" spans="1:13" s="21" customFormat="1" ht="21" customHeight="1">
      <c r="A35" s="32" t="s">
        <v>82</v>
      </c>
      <c r="B35" s="44">
        <v>233</v>
      </c>
      <c r="C35" s="44">
        <v>852</v>
      </c>
      <c r="D35" s="44">
        <v>290</v>
      </c>
      <c r="E35" s="47">
        <f>SUM(F35:J35)</f>
        <v>5900</v>
      </c>
      <c r="F35" s="47">
        <f>'расчеты 4'!E184</f>
        <v>5900</v>
      </c>
      <c r="G35" s="47"/>
      <c r="H35" s="80"/>
      <c r="I35" s="57"/>
      <c r="J35" s="54"/>
      <c r="L35" s="55"/>
      <c r="M35" s="56"/>
    </row>
    <row r="36" spans="1:13" s="21" customFormat="1" ht="29.25" customHeight="1">
      <c r="A36" s="32" t="s">
        <v>584</v>
      </c>
      <c r="B36" s="44">
        <v>234</v>
      </c>
      <c r="C36" s="44">
        <v>853</v>
      </c>
      <c r="D36" s="44">
        <v>290</v>
      </c>
      <c r="E36" s="47">
        <f>SUM(F36:J36)</f>
        <v>3850</v>
      </c>
      <c r="F36" s="47">
        <f>'расчеты 4'!E196</f>
        <v>3850</v>
      </c>
      <c r="G36" s="47"/>
      <c r="H36" s="80"/>
      <c r="I36" s="57"/>
      <c r="J36" s="54"/>
      <c r="L36" s="55"/>
      <c r="M36" s="56"/>
    </row>
    <row r="37" spans="1:13" s="21" customFormat="1" ht="14.25" customHeight="1" hidden="1">
      <c r="A37" s="368" t="s">
        <v>577</v>
      </c>
      <c r="B37" s="363">
        <v>235</v>
      </c>
      <c r="C37" s="369">
        <v>360</v>
      </c>
      <c r="D37" s="369">
        <v>290</v>
      </c>
      <c r="E37" s="370">
        <f>F37+G37+H37+I37</f>
        <v>0</v>
      </c>
      <c r="F37" s="371">
        <v>0</v>
      </c>
      <c r="G37" s="370"/>
      <c r="H37" s="372"/>
      <c r="I37" s="366"/>
      <c r="J37" s="367"/>
      <c r="L37" s="55"/>
      <c r="M37" s="56"/>
    </row>
    <row r="38" spans="1:10" ht="12" customHeight="1">
      <c r="A38" s="517"/>
      <c r="B38" s="518"/>
      <c r="C38" s="518"/>
      <c r="D38" s="518"/>
      <c r="E38" s="518"/>
      <c r="F38" s="518"/>
      <c r="G38" s="518"/>
      <c r="H38" s="519"/>
      <c r="I38" s="57"/>
      <c r="J38" s="58"/>
    </row>
    <row r="39" spans="1:10" s="26" customFormat="1" ht="30" customHeight="1">
      <c r="A39" s="23" t="s">
        <v>83</v>
      </c>
      <c r="B39" s="39">
        <v>240</v>
      </c>
      <c r="C39" s="18" t="s">
        <v>71</v>
      </c>
      <c r="D39" s="18" t="s">
        <v>71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64">
        <v>0</v>
      </c>
    </row>
    <row r="40" spans="1:10" ht="12" customHeight="1">
      <c r="A40" s="517"/>
      <c r="B40" s="518"/>
      <c r="C40" s="518"/>
      <c r="D40" s="518"/>
      <c r="E40" s="518"/>
      <c r="F40" s="518"/>
      <c r="G40" s="518"/>
      <c r="H40" s="519"/>
      <c r="I40" s="57"/>
      <c r="J40" s="58"/>
    </row>
    <row r="41" spans="1:13" s="26" customFormat="1" ht="32.25" customHeight="1">
      <c r="A41" s="23" t="s">
        <v>84</v>
      </c>
      <c r="B41" s="39">
        <v>250</v>
      </c>
      <c r="C41" s="18" t="s">
        <v>71</v>
      </c>
      <c r="D41" s="18" t="s">
        <v>71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64">
        <v>0</v>
      </c>
      <c r="K41" s="59">
        <f>SUM(K42:K42)</f>
        <v>0</v>
      </c>
      <c r="L41" s="60"/>
      <c r="M41" s="60"/>
    </row>
    <row r="42" spans="1:10" ht="12" customHeight="1">
      <c r="A42" s="517"/>
      <c r="B42" s="518"/>
      <c r="C42" s="518"/>
      <c r="D42" s="518"/>
      <c r="E42" s="518"/>
      <c r="F42" s="518"/>
      <c r="G42" s="518"/>
      <c r="H42" s="519"/>
      <c r="I42" s="57"/>
      <c r="J42" s="58"/>
    </row>
    <row r="43" spans="1:10" s="26" customFormat="1" ht="28.5" customHeight="1">
      <c r="A43" s="23" t="s">
        <v>578</v>
      </c>
      <c r="B43" s="39">
        <v>260</v>
      </c>
      <c r="C43" s="40" t="s">
        <v>71</v>
      </c>
      <c r="D43" s="40" t="s">
        <v>71</v>
      </c>
      <c r="E43" s="51">
        <f>SUM(E45:E60)</f>
        <v>1871415</v>
      </c>
      <c r="F43" s="51">
        <f>SUM(F45:F60)</f>
        <v>1861400</v>
      </c>
      <c r="G43" s="51">
        <f>SUM(G45:G60)</f>
        <v>10015</v>
      </c>
      <c r="H43" s="51">
        <f>SUM(H45:H58)</f>
        <v>0</v>
      </c>
      <c r="I43" s="51">
        <f>SUM(I45:I60)</f>
        <v>0</v>
      </c>
      <c r="J43" s="64">
        <f>SUM(J45:J58)</f>
        <v>0</v>
      </c>
    </row>
    <row r="44" spans="1:10" ht="12.75" customHeight="1">
      <c r="A44" s="32" t="s">
        <v>81</v>
      </c>
      <c r="B44" s="39"/>
      <c r="C44" s="44"/>
      <c r="D44" s="44"/>
      <c r="E44" s="47"/>
      <c r="F44" s="47"/>
      <c r="G44" s="47"/>
      <c r="H44" s="6"/>
      <c r="I44" s="47"/>
      <c r="J44" s="50"/>
    </row>
    <row r="45" spans="1:13" s="21" customFormat="1" ht="15.75" customHeight="1">
      <c r="A45" s="32" t="s">
        <v>62</v>
      </c>
      <c r="B45" s="44">
        <v>261</v>
      </c>
      <c r="C45" s="44">
        <v>244</v>
      </c>
      <c r="D45" s="44">
        <v>221</v>
      </c>
      <c r="E45" s="47">
        <f>SUM(F45:J45)</f>
        <v>120000</v>
      </c>
      <c r="F45" s="47">
        <f>120000</f>
        <v>120000</v>
      </c>
      <c r="G45" s="47"/>
      <c r="H45" s="80"/>
      <c r="I45" s="57"/>
      <c r="J45" s="58"/>
      <c r="L45" s="55"/>
      <c r="M45" s="56"/>
    </row>
    <row r="46" spans="1:13" s="21" customFormat="1" ht="0.75" customHeight="1" hidden="1">
      <c r="A46" s="32" t="s">
        <v>63</v>
      </c>
      <c r="B46" s="44">
        <v>262</v>
      </c>
      <c r="C46" s="44">
        <v>244</v>
      </c>
      <c r="D46" s="44">
        <v>222</v>
      </c>
      <c r="E46" s="47">
        <f aca="true" t="shared" si="3" ref="E46:E57">SUM(F46:J46)</f>
        <v>0</v>
      </c>
      <c r="F46" s="47">
        <f>'расчеты 4'!E254</f>
        <v>0</v>
      </c>
      <c r="G46" s="47"/>
      <c r="H46" s="80"/>
      <c r="I46" s="57"/>
      <c r="J46" s="58"/>
      <c r="L46" s="55"/>
      <c r="M46" s="56"/>
    </row>
    <row r="47" spans="1:13" s="21" customFormat="1" ht="15">
      <c r="A47" s="32" t="s">
        <v>85</v>
      </c>
      <c r="B47" s="44">
        <v>262</v>
      </c>
      <c r="C47" s="44">
        <v>244</v>
      </c>
      <c r="D47" s="44">
        <v>223</v>
      </c>
      <c r="E47" s="47">
        <f t="shared" si="3"/>
        <v>0</v>
      </c>
      <c r="F47" s="47">
        <v>0</v>
      </c>
      <c r="G47" s="47"/>
      <c r="H47" s="80"/>
      <c r="I47" s="57"/>
      <c r="J47" s="58"/>
      <c r="L47" s="55"/>
      <c r="M47" s="56"/>
    </row>
    <row r="48" spans="1:13" s="21" customFormat="1" ht="15">
      <c r="A48" s="32" t="s">
        <v>86</v>
      </c>
      <c r="B48" s="44">
        <v>263</v>
      </c>
      <c r="C48" s="44">
        <v>244</v>
      </c>
      <c r="D48" s="44">
        <v>223</v>
      </c>
      <c r="E48" s="47">
        <f t="shared" si="3"/>
        <v>0</v>
      </c>
      <c r="F48" s="47">
        <v>0</v>
      </c>
      <c r="G48" s="47"/>
      <c r="H48" s="80"/>
      <c r="I48" s="57"/>
      <c r="J48" s="58"/>
      <c r="L48" s="55"/>
      <c r="M48" s="56"/>
    </row>
    <row r="49" spans="1:13" s="21" customFormat="1" ht="15">
      <c r="A49" s="32" t="s">
        <v>263</v>
      </c>
      <c r="B49" s="44">
        <v>264</v>
      </c>
      <c r="C49" s="44">
        <v>244</v>
      </c>
      <c r="D49" s="44">
        <v>223</v>
      </c>
      <c r="E49" s="47">
        <f t="shared" si="3"/>
        <v>0</v>
      </c>
      <c r="F49" s="47">
        <v>0</v>
      </c>
      <c r="G49" s="47"/>
      <c r="H49" s="80"/>
      <c r="I49" s="57"/>
      <c r="J49" s="58"/>
      <c r="L49" s="55"/>
      <c r="M49" s="56"/>
    </row>
    <row r="50" spans="1:13" s="21" customFormat="1" ht="15">
      <c r="A50" s="32" t="s">
        <v>87</v>
      </c>
      <c r="B50" s="44">
        <v>265</v>
      </c>
      <c r="C50" s="44">
        <v>244</v>
      </c>
      <c r="D50" s="44">
        <v>223</v>
      </c>
      <c r="E50" s="47">
        <f t="shared" si="3"/>
        <v>0</v>
      </c>
      <c r="F50" s="47">
        <v>0</v>
      </c>
      <c r="G50" s="47"/>
      <c r="H50" s="80"/>
      <c r="I50" s="57"/>
      <c r="J50" s="58"/>
      <c r="L50" s="55"/>
      <c r="M50" s="56"/>
    </row>
    <row r="51" spans="1:13" s="21" customFormat="1" ht="15">
      <c r="A51" s="32" t="s">
        <v>64</v>
      </c>
      <c r="B51" s="44">
        <v>266</v>
      </c>
      <c r="C51" s="44">
        <v>244</v>
      </c>
      <c r="D51" s="44">
        <v>225</v>
      </c>
      <c r="E51" s="47">
        <f t="shared" si="3"/>
        <v>821015</v>
      </c>
      <c r="F51" s="47">
        <v>811000</v>
      </c>
      <c r="G51" s="47">
        <v>10015</v>
      </c>
      <c r="H51" s="80"/>
      <c r="I51" s="57"/>
      <c r="J51" s="58"/>
      <c r="L51" s="55"/>
      <c r="M51" s="56"/>
    </row>
    <row r="52" spans="1:13" s="21" customFormat="1" ht="30">
      <c r="A52" s="32" t="s">
        <v>585</v>
      </c>
      <c r="B52" s="44">
        <v>267</v>
      </c>
      <c r="C52" s="45" t="s">
        <v>586</v>
      </c>
      <c r="D52" s="44">
        <v>225</v>
      </c>
      <c r="E52" s="47">
        <f t="shared" si="3"/>
        <v>0</v>
      </c>
      <c r="F52" s="47"/>
      <c r="G52" s="47">
        <v>0</v>
      </c>
      <c r="H52" s="80"/>
      <c r="I52" s="57"/>
      <c r="J52" s="58"/>
      <c r="L52" s="55"/>
      <c r="M52" s="56"/>
    </row>
    <row r="53" spans="1:13" s="21" customFormat="1" ht="30">
      <c r="A53" s="32" t="s">
        <v>118</v>
      </c>
      <c r="B53" s="44">
        <v>268</v>
      </c>
      <c r="C53" s="45" t="s">
        <v>119</v>
      </c>
      <c r="D53" s="44">
        <v>225</v>
      </c>
      <c r="E53" s="47">
        <f t="shared" si="3"/>
        <v>0</v>
      </c>
      <c r="F53" s="47"/>
      <c r="G53" s="47">
        <v>0</v>
      </c>
      <c r="H53" s="80"/>
      <c r="I53" s="57"/>
      <c r="J53" s="58"/>
      <c r="L53" s="55"/>
      <c r="M53" s="56"/>
    </row>
    <row r="54" spans="1:13" s="21" customFormat="1" ht="15">
      <c r="A54" s="32" t="s">
        <v>65</v>
      </c>
      <c r="B54" s="44">
        <v>269</v>
      </c>
      <c r="C54" s="44">
        <v>244</v>
      </c>
      <c r="D54" s="44">
        <v>226</v>
      </c>
      <c r="E54" s="47">
        <f>SUM(F54:J54)</f>
        <v>350000</v>
      </c>
      <c r="F54" s="47">
        <v>350000</v>
      </c>
      <c r="G54" s="47">
        <v>0</v>
      </c>
      <c r="H54" s="80"/>
      <c r="I54" s="57">
        <f>'расчеты 2 и пожертвования'!E434</f>
        <v>0</v>
      </c>
      <c r="J54" s="58"/>
      <c r="L54" s="55"/>
      <c r="M54" s="56"/>
    </row>
    <row r="55" spans="1:13" s="21" customFormat="1" ht="30">
      <c r="A55" s="32" t="s">
        <v>587</v>
      </c>
      <c r="B55" s="44">
        <v>270</v>
      </c>
      <c r="C55" s="44">
        <v>243</v>
      </c>
      <c r="D55" s="44">
        <v>226</v>
      </c>
      <c r="E55" s="47">
        <f t="shared" si="3"/>
        <v>0</v>
      </c>
      <c r="F55" s="47">
        <v>0</v>
      </c>
      <c r="G55" s="47">
        <v>0</v>
      </c>
      <c r="H55" s="80"/>
      <c r="I55" s="57"/>
      <c r="J55" s="58"/>
      <c r="L55" s="55"/>
      <c r="M55" s="56"/>
    </row>
    <row r="56" spans="1:13" s="21" customFormat="1" ht="15" hidden="1">
      <c r="A56" s="143" t="s">
        <v>179</v>
      </c>
      <c r="B56" s="44">
        <v>270</v>
      </c>
      <c r="C56" s="44">
        <v>244</v>
      </c>
      <c r="D56" s="44">
        <v>290</v>
      </c>
      <c r="E56" s="47">
        <f t="shared" si="3"/>
        <v>0</v>
      </c>
      <c r="F56" s="47"/>
      <c r="G56" s="47"/>
      <c r="H56" s="80"/>
      <c r="I56" s="57"/>
      <c r="J56" s="58"/>
      <c r="L56" s="55"/>
      <c r="M56" s="56"/>
    </row>
    <row r="57" spans="1:13" s="21" customFormat="1" ht="30">
      <c r="A57" s="32" t="s">
        <v>588</v>
      </c>
      <c r="B57" s="44">
        <v>271</v>
      </c>
      <c r="C57" s="44">
        <v>244</v>
      </c>
      <c r="D57" s="44">
        <v>310</v>
      </c>
      <c r="E57" s="47">
        <f t="shared" si="3"/>
        <v>163584.8</v>
      </c>
      <c r="F57" s="47">
        <f>'Таблица 2018'!F58</f>
        <v>163584.8</v>
      </c>
      <c r="G57" s="47">
        <v>0</v>
      </c>
      <c r="H57" s="80"/>
      <c r="I57" s="57"/>
      <c r="J57" s="58"/>
      <c r="L57" s="55"/>
      <c r="M57" s="56"/>
    </row>
    <row r="58" spans="1:13" s="21" customFormat="1" ht="30">
      <c r="A58" s="32" t="s">
        <v>88</v>
      </c>
      <c r="B58" s="44">
        <v>272</v>
      </c>
      <c r="C58" s="44">
        <v>244</v>
      </c>
      <c r="D58" s="44">
        <v>310</v>
      </c>
      <c r="E58" s="47">
        <f>SUM(F58:J58)</f>
        <v>176000</v>
      </c>
      <c r="F58" s="47">
        <f>'расчеты 4'!E466</f>
        <v>176000</v>
      </c>
      <c r="G58" s="47">
        <v>0</v>
      </c>
      <c r="H58" s="80"/>
      <c r="I58" s="57">
        <f>'Таблица 2018'!I59</f>
        <v>0</v>
      </c>
      <c r="J58" s="58"/>
      <c r="L58" s="55"/>
      <c r="M58" s="56"/>
    </row>
    <row r="59" spans="1:10" ht="30">
      <c r="A59" s="32" t="s">
        <v>591</v>
      </c>
      <c r="B59" s="44">
        <v>273</v>
      </c>
      <c r="C59" s="44">
        <v>244</v>
      </c>
      <c r="D59" s="44">
        <v>340</v>
      </c>
      <c r="E59" s="47">
        <f>F59+G59+H59+I59</f>
        <v>0</v>
      </c>
      <c r="F59" s="47"/>
      <c r="G59" s="47"/>
      <c r="H59" s="6"/>
      <c r="I59" s="47">
        <v>0</v>
      </c>
      <c r="J59" s="47"/>
    </row>
    <row r="60" spans="1:10" ht="30">
      <c r="A60" s="32" t="s">
        <v>589</v>
      </c>
      <c r="B60" s="44">
        <v>274</v>
      </c>
      <c r="C60" s="44">
        <v>244</v>
      </c>
      <c r="D60" s="44">
        <v>340</v>
      </c>
      <c r="E60" s="47">
        <f>F60+G60+H60+I60</f>
        <v>240815.2</v>
      </c>
      <c r="F60" s="47">
        <f>202215.2+38600</f>
        <v>240815.2</v>
      </c>
      <c r="G60" s="47"/>
      <c r="H60" s="6"/>
      <c r="I60" s="47">
        <v>0</v>
      </c>
      <c r="J60" s="47"/>
    </row>
    <row r="61" spans="1:10" ht="15">
      <c r="A61" s="61"/>
      <c r="B61" s="62"/>
      <c r="C61" s="62"/>
      <c r="D61" s="62"/>
      <c r="E61" s="62"/>
      <c r="F61" s="62"/>
      <c r="G61" s="62"/>
      <c r="H61" s="62"/>
      <c r="I61" s="62"/>
      <c r="J61" s="63"/>
    </row>
    <row r="62" spans="1:10" s="26" customFormat="1" ht="29.25">
      <c r="A62" s="23" t="s">
        <v>89</v>
      </c>
      <c r="B62" s="39">
        <v>300</v>
      </c>
      <c r="C62" s="40" t="s">
        <v>71</v>
      </c>
      <c r="D62" s="40" t="s">
        <v>71</v>
      </c>
      <c r="E62" s="51">
        <f aca="true" t="shared" si="4" ref="E62:J62">E64+E65</f>
        <v>0</v>
      </c>
      <c r="F62" s="51">
        <f t="shared" si="4"/>
        <v>0</v>
      </c>
      <c r="G62" s="51">
        <f t="shared" si="4"/>
        <v>0</v>
      </c>
      <c r="H62" s="51">
        <f t="shared" si="4"/>
        <v>0</v>
      </c>
      <c r="I62" s="51">
        <f t="shared" si="4"/>
        <v>0</v>
      </c>
      <c r="J62" s="64">
        <f t="shared" si="4"/>
        <v>0</v>
      </c>
    </row>
    <row r="63" spans="1:10" ht="0.75" customHeight="1" hidden="1">
      <c r="A63" s="61" t="s">
        <v>81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15" hidden="1">
      <c r="A64" s="32" t="s">
        <v>90</v>
      </c>
      <c r="B64" s="39">
        <v>310</v>
      </c>
      <c r="C64" s="44"/>
      <c r="D64" s="44"/>
      <c r="E64" s="47"/>
      <c r="F64" s="47"/>
      <c r="G64" s="47"/>
      <c r="H64" s="6"/>
      <c r="I64" s="47"/>
      <c r="J64" s="50"/>
    </row>
    <row r="65" spans="1:13" s="21" customFormat="1" ht="15" hidden="1">
      <c r="A65" s="32" t="s">
        <v>91</v>
      </c>
      <c r="B65" s="39">
        <v>320</v>
      </c>
      <c r="C65" s="39"/>
      <c r="D65" s="39"/>
      <c r="E65" s="51"/>
      <c r="F65" s="51"/>
      <c r="G65" s="51"/>
      <c r="H65" s="52"/>
      <c r="I65" s="53"/>
      <c r="J65" s="54"/>
      <c r="L65" s="55"/>
      <c r="M65" s="56"/>
    </row>
    <row r="66" spans="1:13" s="21" customFormat="1" ht="14.25">
      <c r="A66" s="23" t="s">
        <v>92</v>
      </c>
      <c r="B66" s="39">
        <v>400</v>
      </c>
      <c r="C66" s="40" t="s">
        <v>71</v>
      </c>
      <c r="D66" s="40" t="s">
        <v>71</v>
      </c>
      <c r="E66" s="51">
        <f aca="true" t="shared" si="5" ref="E66:J66">E68+E69</f>
        <v>0</v>
      </c>
      <c r="F66" s="51">
        <f t="shared" si="5"/>
        <v>0</v>
      </c>
      <c r="G66" s="51">
        <f t="shared" si="5"/>
        <v>0</v>
      </c>
      <c r="H66" s="51">
        <f t="shared" si="5"/>
        <v>0</v>
      </c>
      <c r="I66" s="51">
        <f t="shared" si="5"/>
        <v>0</v>
      </c>
      <c r="J66" s="64">
        <f t="shared" si="5"/>
        <v>0</v>
      </c>
      <c r="L66" s="55"/>
      <c r="M66" s="56"/>
    </row>
    <row r="67" spans="1:10" ht="15" hidden="1">
      <c r="A67" s="61" t="s">
        <v>81</v>
      </c>
      <c r="B67" s="62"/>
      <c r="C67" s="62"/>
      <c r="D67" s="62"/>
      <c r="E67" s="62"/>
      <c r="F67" s="62"/>
      <c r="G67" s="62"/>
      <c r="H67" s="62"/>
      <c r="I67" s="62"/>
      <c r="J67" s="63"/>
    </row>
    <row r="68" spans="1:13" s="21" customFormat="1" ht="15" hidden="1">
      <c r="A68" s="32" t="s">
        <v>93</v>
      </c>
      <c r="B68" s="39">
        <v>410</v>
      </c>
      <c r="C68" s="39"/>
      <c r="D68" s="39"/>
      <c r="E68" s="51"/>
      <c r="F68" s="51"/>
      <c r="G68" s="51"/>
      <c r="H68" s="52"/>
      <c r="I68" s="53"/>
      <c r="J68" s="54"/>
      <c r="L68" s="55"/>
      <c r="M68" s="56"/>
    </row>
    <row r="69" spans="1:13" s="21" customFormat="1" ht="15" hidden="1">
      <c r="A69" s="32" t="s">
        <v>94</v>
      </c>
      <c r="B69" s="39">
        <v>420</v>
      </c>
      <c r="C69" s="39"/>
      <c r="D69" s="39"/>
      <c r="E69" s="51"/>
      <c r="F69" s="51"/>
      <c r="G69" s="51"/>
      <c r="H69" s="52"/>
      <c r="I69" s="53"/>
      <c r="J69" s="54"/>
      <c r="L69" s="55"/>
      <c r="M69" s="56"/>
    </row>
    <row r="70" spans="1:13" s="21" customFormat="1" ht="14.25">
      <c r="A70" s="17" t="s">
        <v>38</v>
      </c>
      <c r="B70" s="39">
        <v>500</v>
      </c>
      <c r="C70" s="40" t="s">
        <v>71</v>
      </c>
      <c r="D70" s="40" t="s">
        <v>71</v>
      </c>
      <c r="E70" s="51">
        <v>0</v>
      </c>
      <c r="F70" s="51">
        <v>0</v>
      </c>
      <c r="G70" s="51">
        <v>0</v>
      </c>
      <c r="H70" s="51">
        <f>H72+H73</f>
        <v>0</v>
      </c>
      <c r="I70" s="53">
        <f>I72+I73</f>
        <v>0</v>
      </c>
      <c r="J70" s="53">
        <f>J72+J73</f>
        <v>0</v>
      </c>
      <c r="L70" s="55"/>
      <c r="M70" s="56"/>
    </row>
    <row r="71" spans="1:10" ht="15" hidden="1">
      <c r="A71" s="61" t="s">
        <v>6</v>
      </c>
      <c r="B71" s="62"/>
      <c r="C71" s="62"/>
      <c r="D71" s="62"/>
      <c r="E71" s="62"/>
      <c r="F71" s="62"/>
      <c r="G71" s="62"/>
      <c r="H71" s="62"/>
      <c r="I71" s="62"/>
      <c r="J71" s="63"/>
    </row>
    <row r="72" spans="1:13" s="21" customFormat="1" ht="30" hidden="1">
      <c r="A72" s="32" t="s">
        <v>116</v>
      </c>
      <c r="B72" s="44">
        <v>501</v>
      </c>
      <c r="C72" s="40" t="s">
        <v>71</v>
      </c>
      <c r="D72" s="40" t="s">
        <v>71</v>
      </c>
      <c r="E72" s="47">
        <f>SUM(F72:J72)</f>
        <v>0</v>
      </c>
      <c r="F72" s="31" t="s">
        <v>71</v>
      </c>
      <c r="G72" s="31" t="s">
        <v>71</v>
      </c>
      <c r="H72" s="80"/>
      <c r="I72" s="57">
        <v>0</v>
      </c>
      <c r="J72" s="58"/>
      <c r="L72" s="55"/>
      <c r="M72" s="56"/>
    </row>
    <row r="73" spans="1:13" s="21" customFormat="1" ht="15" hidden="1">
      <c r="A73" s="32" t="s">
        <v>117</v>
      </c>
      <c r="B73" s="44">
        <v>502</v>
      </c>
      <c r="C73" s="40" t="s">
        <v>71</v>
      </c>
      <c r="D73" s="40" t="s">
        <v>71</v>
      </c>
      <c r="E73" s="47">
        <f>SUM(F73:J73)</f>
        <v>0</v>
      </c>
      <c r="F73" s="31" t="s">
        <v>71</v>
      </c>
      <c r="G73" s="31" t="s">
        <v>71</v>
      </c>
      <c r="H73" s="80"/>
      <c r="I73" s="57">
        <v>0</v>
      </c>
      <c r="J73" s="58"/>
      <c r="L73" s="55"/>
      <c r="M73" s="56"/>
    </row>
    <row r="74" spans="1:13" s="21" customFormat="1" ht="14.25">
      <c r="A74" s="17" t="s">
        <v>39</v>
      </c>
      <c r="B74" s="39">
        <v>600</v>
      </c>
      <c r="C74" s="40" t="s">
        <v>71</v>
      </c>
      <c r="D74" s="40" t="s">
        <v>71</v>
      </c>
      <c r="E74" s="51"/>
      <c r="F74" s="51">
        <f>E7-E23</f>
        <v>0</v>
      </c>
      <c r="G74" s="51"/>
      <c r="H74" s="51"/>
      <c r="I74" s="53"/>
      <c r="J74" s="53"/>
      <c r="L74" s="55"/>
      <c r="M74" s="56"/>
    </row>
    <row r="75" spans="1:9" ht="15">
      <c r="A75" s="65"/>
      <c r="I75" s="53"/>
    </row>
    <row r="76" ht="15" customHeight="1">
      <c r="A76" s="65"/>
    </row>
    <row r="77" ht="15">
      <c r="A77" s="65"/>
    </row>
    <row r="78" ht="16.5" customHeight="1">
      <c r="A78" s="67"/>
    </row>
    <row r="81" spans="2:4" ht="15">
      <c r="B81" s="11" t="s">
        <v>95</v>
      </c>
      <c r="C81" s="11" t="s">
        <v>95</v>
      </c>
      <c r="D81" s="11" t="s">
        <v>95</v>
      </c>
    </row>
  </sheetData>
  <sheetProtection/>
  <mergeCells count="18">
    <mergeCell ref="A40:H40"/>
    <mergeCell ref="A42:H42"/>
    <mergeCell ref="C6:D6"/>
    <mergeCell ref="A8:J8"/>
    <mergeCell ref="A22:H22"/>
    <mergeCell ref="A28:H28"/>
    <mergeCell ref="A30:H30"/>
    <mergeCell ref="A38:H38"/>
    <mergeCell ref="A1:J1"/>
    <mergeCell ref="A3:A5"/>
    <mergeCell ref="B3:B5"/>
    <mergeCell ref="C3:D4"/>
    <mergeCell ref="E3:J3"/>
    <mergeCell ref="E4:E5"/>
    <mergeCell ref="F4:F5"/>
    <mergeCell ref="G4:G5"/>
    <mergeCell ref="H4:H5"/>
    <mergeCell ref="I4:J4"/>
  </mergeCells>
  <printOptions/>
  <pageMargins left="0.7874015748031497" right="0.3937007874015748" top="0.2755905511811024" bottom="0.2362204724409449" header="0.1968503937007874" footer="0.1968503937007874"/>
  <pageSetup horizontalDpi="600" verticalDpi="600" orientation="portrait" paperSize="9" scale="46" r:id="rId1"/>
  <colBreaks count="1" manualBreakCount="1">
    <brk id="10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80" zoomScaleNormal="75" zoomScaleSheetLayoutView="80" zoomScalePageLayoutView="0" workbookViewId="0" topLeftCell="A38">
      <selection activeCell="F10" sqref="F10"/>
    </sheetView>
  </sheetViews>
  <sheetFormatPr defaultColWidth="9.140625" defaultRowHeight="15"/>
  <cols>
    <col min="1" max="1" width="41.8515625" style="8" customWidth="1"/>
    <col min="2" max="2" width="7.00390625" style="11" customWidth="1"/>
    <col min="3" max="4" width="7.8515625" style="11" customWidth="1"/>
    <col min="5" max="6" width="16.00390625" style="66" customWidth="1"/>
    <col min="7" max="7" width="23.7109375" style="8" customWidth="1"/>
    <col min="8" max="8" width="16.7109375" style="8" customWidth="1"/>
    <col min="9" max="10" width="13.7109375" style="8" customWidth="1"/>
    <col min="11" max="11" width="1.421875" style="8" customWidth="1"/>
    <col min="12" max="12" width="13.28125" style="8" customWidth="1"/>
    <col min="13" max="13" width="13.57421875" style="8" customWidth="1"/>
    <col min="14" max="16384" width="9.140625" style="8" customWidth="1"/>
  </cols>
  <sheetData>
    <row r="1" spans="1:10" ht="15">
      <c r="A1" s="528" t="s">
        <v>673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10.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9.5" customHeight="1">
      <c r="A3" s="530" t="s">
        <v>66</v>
      </c>
      <c r="B3" s="533" t="s">
        <v>2</v>
      </c>
      <c r="C3" s="536" t="s">
        <v>29</v>
      </c>
      <c r="D3" s="537"/>
      <c r="E3" s="539" t="s">
        <v>186</v>
      </c>
      <c r="F3" s="540"/>
      <c r="G3" s="540"/>
      <c r="H3" s="540"/>
      <c r="I3" s="540"/>
      <c r="J3" s="541"/>
    </row>
    <row r="4" spans="1:10" s="11" customFormat="1" ht="83.25" customHeight="1">
      <c r="A4" s="531"/>
      <c r="B4" s="534"/>
      <c r="C4" s="535"/>
      <c r="D4" s="538"/>
      <c r="E4" s="542" t="s">
        <v>67</v>
      </c>
      <c r="F4" s="544" t="s">
        <v>68</v>
      </c>
      <c r="G4" s="544" t="s">
        <v>69</v>
      </c>
      <c r="H4" s="545" t="s">
        <v>70</v>
      </c>
      <c r="I4" s="547" t="s">
        <v>31</v>
      </c>
      <c r="J4" s="548"/>
    </row>
    <row r="5" spans="1:10" ht="45" customHeight="1">
      <c r="A5" s="532"/>
      <c r="B5" s="535"/>
      <c r="C5" s="4" t="s">
        <v>53</v>
      </c>
      <c r="D5" s="4" t="s">
        <v>54</v>
      </c>
      <c r="E5" s="543"/>
      <c r="F5" s="544"/>
      <c r="G5" s="544"/>
      <c r="H5" s="546"/>
      <c r="I5" s="4" t="s">
        <v>30</v>
      </c>
      <c r="J5" s="13" t="s">
        <v>32</v>
      </c>
    </row>
    <row r="6" spans="1:10" ht="15.75" customHeight="1">
      <c r="A6" s="12">
        <v>1</v>
      </c>
      <c r="B6" s="14">
        <v>2</v>
      </c>
      <c r="C6" s="523">
        <v>3</v>
      </c>
      <c r="D6" s="524"/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6">
        <v>9</v>
      </c>
    </row>
    <row r="7" spans="1:12" s="21" customFormat="1" ht="25.5" customHeight="1">
      <c r="A7" s="17" t="s">
        <v>33</v>
      </c>
      <c r="B7" s="18">
        <v>100</v>
      </c>
      <c r="C7" s="18" t="s">
        <v>71</v>
      </c>
      <c r="D7" s="18" t="s">
        <v>71</v>
      </c>
      <c r="E7" s="19">
        <f>F7+G7+H7+I7</f>
        <v>30694700</v>
      </c>
      <c r="F7" s="19">
        <f>F10</f>
        <v>30694700</v>
      </c>
      <c r="G7" s="19">
        <f>G19</f>
        <v>0</v>
      </c>
      <c r="H7" s="19">
        <f>H19</f>
        <v>0</v>
      </c>
      <c r="I7" s="19">
        <f>I10</f>
        <v>0</v>
      </c>
      <c r="J7" s="20" t="s">
        <v>71</v>
      </c>
      <c r="L7" s="22"/>
    </row>
    <row r="8" spans="1:10" ht="12.75" customHeight="1">
      <c r="A8" s="525" t="s">
        <v>72</v>
      </c>
      <c r="B8" s="526"/>
      <c r="C8" s="526"/>
      <c r="D8" s="526"/>
      <c r="E8" s="526"/>
      <c r="F8" s="526"/>
      <c r="G8" s="526"/>
      <c r="H8" s="526"/>
      <c r="I8" s="526"/>
      <c r="J8" s="527"/>
    </row>
    <row r="9" spans="1:10" s="21" customFormat="1" ht="16.5" customHeight="1">
      <c r="A9" s="23" t="s">
        <v>73</v>
      </c>
      <c r="B9" s="18">
        <v>110</v>
      </c>
      <c r="C9" s="18" t="s">
        <v>71</v>
      </c>
      <c r="D9" s="18" t="s">
        <v>71</v>
      </c>
      <c r="E9" s="19">
        <f>I9</f>
        <v>0</v>
      </c>
      <c r="F9" s="18" t="s">
        <v>71</v>
      </c>
      <c r="G9" s="18" t="s">
        <v>71</v>
      </c>
      <c r="H9" s="18" t="s">
        <v>71</v>
      </c>
      <c r="I9" s="24">
        <v>0</v>
      </c>
      <c r="J9" s="20" t="s">
        <v>71</v>
      </c>
    </row>
    <row r="10" spans="1:12" s="26" customFormat="1" ht="30" customHeight="1">
      <c r="A10" s="23" t="s">
        <v>74</v>
      </c>
      <c r="B10" s="18">
        <v>120</v>
      </c>
      <c r="C10" s="18" t="s">
        <v>71</v>
      </c>
      <c r="D10" s="18" t="s">
        <v>71</v>
      </c>
      <c r="E10" s="19">
        <f>F10+I10+J10</f>
        <v>30694700</v>
      </c>
      <c r="F10" s="19">
        <f>11197300+19497400</f>
        <v>30694700</v>
      </c>
      <c r="G10" s="18" t="s">
        <v>71</v>
      </c>
      <c r="H10" s="18" t="s">
        <v>71</v>
      </c>
      <c r="I10" s="24">
        <f>I11+I12+I14</f>
        <v>0</v>
      </c>
      <c r="J10" s="25"/>
      <c r="L10" s="27"/>
    </row>
    <row r="11" spans="1:10" ht="60">
      <c r="A11" s="6" t="s">
        <v>308</v>
      </c>
      <c r="B11" s="189">
        <v>121</v>
      </c>
      <c r="C11" s="45" t="s">
        <v>55</v>
      </c>
      <c r="D11" s="46">
        <v>130</v>
      </c>
      <c r="E11" s="190">
        <f>F11+G11+H11+I11+J11</f>
        <v>0</v>
      </c>
      <c r="F11" s="47">
        <v>0</v>
      </c>
      <c r="G11" s="47">
        <v>0</v>
      </c>
      <c r="H11" s="6">
        <v>0</v>
      </c>
      <c r="I11" s="47">
        <v>0</v>
      </c>
      <c r="J11" s="191"/>
    </row>
    <row r="12" spans="1:10" ht="30">
      <c r="A12" s="6" t="s">
        <v>309</v>
      </c>
      <c r="B12" s="189">
        <v>122</v>
      </c>
      <c r="C12" s="45" t="s">
        <v>55</v>
      </c>
      <c r="D12" s="46">
        <v>130</v>
      </c>
      <c r="E12" s="190">
        <f>F12+G12+H12+I12+J12</f>
        <v>0</v>
      </c>
      <c r="F12" s="47">
        <v>0</v>
      </c>
      <c r="G12" s="47">
        <v>0</v>
      </c>
      <c r="H12" s="6">
        <v>0</v>
      </c>
      <c r="I12" s="47">
        <v>0</v>
      </c>
      <c r="J12" s="191"/>
    </row>
    <row r="13" spans="1:10" ht="15" hidden="1">
      <c r="A13" s="6" t="s">
        <v>310</v>
      </c>
      <c r="B13" s="189">
        <v>124</v>
      </c>
      <c r="C13" s="45" t="s">
        <v>55</v>
      </c>
      <c r="D13" s="46">
        <v>130</v>
      </c>
      <c r="E13" s="190">
        <f>F13+G13+H13+I13+J13</f>
        <v>0</v>
      </c>
      <c r="F13" s="47">
        <v>0</v>
      </c>
      <c r="G13" s="47"/>
      <c r="H13" s="6"/>
      <c r="I13" s="47">
        <v>0</v>
      </c>
      <c r="J13" s="191"/>
    </row>
    <row r="14" spans="1:10" ht="21" customHeight="1">
      <c r="A14" s="6" t="s">
        <v>311</v>
      </c>
      <c r="B14" s="189">
        <v>123</v>
      </c>
      <c r="C14" s="45" t="s">
        <v>55</v>
      </c>
      <c r="D14" s="46">
        <v>130</v>
      </c>
      <c r="E14" s="190">
        <f>F14+G14+H14+I14+J14</f>
        <v>0</v>
      </c>
      <c r="F14" s="47">
        <v>0</v>
      </c>
      <c r="G14" s="47">
        <v>0</v>
      </c>
      <c r="H14" s="6">
        <v>0</v>
      </c>
      <c r="I14" s="47">
        <v>0</v>
      </c>
      <c r="J14" s="191"/>
    </row>
    <row r="15" spans="1:10" ht="75" customHeight="1" hidden="1">
      <c r="A15" s="28" t="s">
        <v>75</v>
      </c>
      <c r="B15" s="10"/>
      <c r="C15" s="29" t="s">
        <v>55</v>
      </c>
      <c r="D15" s="15">
        <v>180</v>
      </c>
      <c r="E15" s="30">
        <f>F15</f>
        <v>0</v>
      </c>
      <c r="F15" s="30">
        <v>0</v>
      </c>
      <c r="G15" s="31" t="s">
        <v>71</v>
      </c>
      <c r="H15" s="18" t="s">
        <v>71</v>
      </c>
      <c r="I15" s="47">
        <v>15000</v>
      </c>
      <c r="J15" s="20" t="s">
        <v>71</v>
      </c>
    </row>
    <row r="16" spans="1:10" ht="75" hidden="1">
      <c r="A16" s="32" t="s">
        <v>75</v>
      </c>
      <c r="B16" s="10"/>
      <c r="C16" s="29" t="s">
        <v>55</v>
      </c>
      <c r="D16" s="15">
        <v>130</v>
      </c>
      <c r="E16" s="30" t="str">
        <f>I16</f>
        <v>Х</v>
      </c>
      <c r="F16" s="31" t="s">
        <v>71</v>
      </c>
      <c r="G16" s="31" t="s">
        <v>71</v>
      </c>
      <c r="H16" s="31" t="s">
        <v>71</v>
      </c>
      <c r="I16" s="18" t="s">
        <v>71</v>
      </c>
      <c r="J16" s="20" t="s">
        <v>71</v>
      </c>
    </row>
    <row r="17" spans="1:10" ht="29.25">
      <c r="A17" s="17" t="s">
        <v>76</v>
      </c>
      <c r="B17" s="18">
        <v>130</v>
      </c>
      <c r="C17" s="18" t="s">
        <v>71</v>
      </c>
      <c r="D17" s="18" t="s">
        <v>71</v>
      </c>
      <c r="E17" s="19">
        <f>I17</f>
        <v>0</v>
      </c>
      <c r="F17" s="18" t="s">
        <v>71</v>
      </c>
      <c r="G17" s="18" t="s">
        <v>71</v>
      </c>
      <c r="H17" s="18" t="s">
        <v>71</v>
      </c>
      <c r="I17" s="78">
        <v>0</v>
      </c>
      <c r="J17" s="20" t="s">
        <v>71</v>
      </c>
    </row>
    <row r="18" spans="1:10" s="26" customFormat="1" ht="75" customHeight="1">
      <c r="A18" s="17" t="s">
        <v>77</v>
      </c>
      <c r="B18" s="18">
        <v>140</v>
      </c>
      <c r="C18" s="18" t="s">
        <v>71</v>
      </c>
      <c r="D18" s="18" t="s">
        <v>71</v>
      </c>
      <c r="E18" s="19">
        <f>I18</f>
        <v>0</v>
      </c>
      <c r="F18" s="34" t="s">
        <v>71</v>
      </c>
      <c r="G18" s="34" t="s">
        <v>71</v>
      </c>
      <c r="H18" s="34" t="s">
        <v>71</v>
      </c>
      <c r="I18" s="78">
        <v>0</v>
      </c>
      <c r="J18" s="35" t="s">
        <v>71</v>
      </c>
    </row>
    <row r="19" spans="1:10" ht="27.75" customHeight="1">
      <c r="A19" s="17" t="s">
        <v>78</v>
      </c>
      <c r="B19" s="36">
        <v>150</v>
      </c>
      <c r="C19" s="37" t="s">
        <v>55</v>
      </c>
      <c r="D19" s="36">
        <v>180</v>
      </c>
      <c r="E19" s="19">
        <f>G19</f>
        <v>0</v>
      </c>
      <c r="F19" s="38" t="s">
        <v>71</v>
      </c>
      <c r="G19" s="19">
        <v>0</v>
      </c>
      <c r="H19" s="31"/>
      <c r="I19" s="78">
        <v>0</v>
      </c>
      <c r="J19" s="35" t="s">
        <v>71</v>
      </c>
    </row>
    <row r="20" spans="1:10" ht="42.75" customHeight="1">
      <c r="A20" s="17" t="s">
        <v>79</v>
      </c>
      <c r="B20" s="39">
        <v>160</v>
      </c>
      <c r="C20" s="37" t="s">
        <v>55</v>
      </c>
      <c r="D20" s="36">
        <v>180</v>
      </c>
      <c r="E20" s="19">
        <v>0</v>
      </c>
      <c r="F20" s="34" t="s">
        <v>71</v>
      </c>
      <c r="G20" s="34" t="s">
        <v>71</v>
      </c>
      <c r="H20" s="34" t="s">
        <v>71</v>
      </c>
      <c r="I20" s="34" t="s">
        <v>71</v>
      </c>
      <c r="J20" s="35"/>
    </row>
    <row r="21" spans="1:10" ht="15">
      <c r="A21" s="17" t="s">
        <v>80</v>
      </c>
      <c r="B21" s="39">
        <v>170</v>
      </c>
      <c r="C21" s="40" t="s">
        <v>71</v>
      </c>
      <c r="D21" s="40" t="s">
        <v>71</v>
      </c>
      <c r="E21" s="19">
        <v>0</v>
      </c>
      <c r="F21" s="34" t="s">
        <v>71</v>
      </c>
      <c r="G21" s="34" t="s">
        <v>71</v>
      </c>
      <c r="H21" s="34" t="s">
        <v>71</v>
      </c>
      <c r="I21" s="79">
        <v>0</v>
      </c>
      <c r="J21" s="35" t="s">
        <v>71</v>
      </c>
    </row>
    <row r="22" spans="1:10" ht="15">
      <c r="A22" s="520"/>
      <c r="B22" s="521"/>
      <c r="C22" s="521"/>
      <c r="D22" s="521"/>
      <c r="E22" s="521"/>
      <c r="F22" s="521"/>
      <c r="G22" s="521"/>
      <c r="H22" s="522"/>
      <c r="I22" s="79"/>
      <c r="J22" s="43"/>
    </row>
    <row r="23" spans="1:10" ht="19.5" customHeight="1">
      <c r="A23" s="17" t="s">
        <v>34</v>
      </c>
      <c r="B23" s="39">
        <v>200</v>
      </c>
      <c r="C23" s="40" t="s">
        <v>71</v>
      </c>
      <c r="D23" s="40" t="s">
        <v>71</v>
      </c>
      <c r="E23" s="51">
        <f aca="true" t="shared" si="0" ref="E23:J23">E24+E29+E31+E39+E41+E43+E62+E64+E65+E66+E68+E69</f>
        <v>30694700</v>
      </c>
      <c r="F23" s="51">
        <f t="shared" si="0"/>
        <v>30694700</v>
      </c>
      <c r="G23" s="51">
        <f t="shared" si="0"/>
        <v>0</v>
      </c>
      <c r="H23" s="51">
        <f t="shared" si="0"/>
        <v>0</v>
      </c>
      <c r="I23" s="51">
        <f t="shared" si="0"/>
        <v>0</v>
      </c>
      <c r="J23" s="64">
        <f t="shared" si="0"/>
        <v>0</v>
      </c>
    </row>
    <row r="24" spans="1:10" ht="19.5" customHeight="1">
      <c r="A24" s="32" t="s">
        <v>35</v>
      </c>
      <c r="B24" s="39">
        <v>210</v>
      </c>
      <c r="C24" s="40" t="s">
        <v>71</v>
      </c>
      <c r="D24" s="40" t="s">
        <v>71</v>
      </c>
      <c r="E24" s="51">
        <f aca="true" t="shared" si="1" ref="E24:J24">SUM(E25:E27)</f>
        <v>28019600</v>
      </c>
      <c r="F24" s="51">
        <f t="shared" si="1"/>
        <v>28019600</v>
      </c>
      <c r="G24" s="51">
        <f t="shared" si="1"/>
        <v>0</v>
      </c>
      <c r="H24" s="51">
        <f t="shared" si="1"/>
        <v>0</v>
      </c>
      <c r="I24" s="51">
        <f>SUM(I25:I27)</f>
        <v>0</v>
      </c>
      <c r="J24" s="64">
        <f t="shared" si="1"/>
        <v>0</v>
      </c>
    </row>
    <row r="25" spans="1:10" s="171" customFormat="1" ht="28.5" customHeight="1">
      <c r="A25" s="32" t="s">
        <v>590</v>
      </c>
      <c r="B25" s="44">
        <v>211</v>
      </c>
      <c r="C25" s="45" t="s">
        <v>56</v>
      </c>
      <c r="D25" s="46">
        <v>211</v>
      </c>
      <c r="E25" s="47">
        <f>SUM(F25:J25)</f>
        <v>21490333</v>
      </c>
      <c r="F25" s="47">
        <v>21490333</v>
      </c>
      <c r="G25" s="47"/>
      <c r="H25" s="34"/>
      <c r="I25" s="47">
        <f>'расчеты 2 и пожертвования'!I17</f>
        <v>0</v>
      </c>
      <c r="J25" s="35"/>
    </row>
    <row r="26" spans="1:13" s="21" customFormat="1" ht="26.25" customHeight="1">
      <c r="A26" s="32" t="s">
        <v>575</v>
      </c>
      <c r="B26" s="363">
        <v>212</v>
      </c>
      <c r="C26" s="363">
        <v>112</v>
      </c>
      <c r="D26" s="363">
        <v>212</v>
      </c>
      <c r="E26" s="364">
        <f>F26+G26+H26+I26</f>
        <v>39100</v>
      </c>
      <c r="F26" s="364">
        <v>39100</v>
      </c>
      <c r="G26" s="364">
        <v>0</v>
      </c>
      <c r="H26" s="365"/>
      <c r="I26" s="366">
        <v>0</v>
      </c>
      <c r="J26" s="367"/>
      <c r="L26" s="55"/>
      <c r="M26" s="56"/>
    </row>
    <row r="27" spans="1:10" ht="29.25" customHeight="1">
      <c r="A27" s="32" t="s">
        <v>590</v>
      </c>
      <c r="B27" s="44">
        <v>213</v>
      </c>
      <c r="C27" s="45" t="s">
        <v>57</v>
      </c>
      <c r="D27" s="46">
        <v>213</v>
      </c>
      <c r="E27" s="47">
        <f>SUM(F27:J27)</f>
        <v>6490167</v>
      </c>
      <c r="F27" s="47">
        <v>6490167</v>
      </c>
      <c r="G27" s="47"/>
      <c r="H27" s="34"/>
      <c r="I27" s="47">
        <f>'расчеты 2 и пожертвования'!E43</f>
        <v>0</v>
      </c>
      <c r="J27" s="35"/>
    </row>
    <row r="28" spans="1:10" ht="15">
      <c r="A28" s="520"/>
      <c r="B28" s="521"/>
      <c r="C28" s="521"/>
      <c r="D28" s="521"/>
      <c r="E28" s="521"/>
      <c r="F28" s="521"/>
      <c r="G28" s="521"/>
      <c r="H28" s="522"/>
      <c r="I28" s="42"/>
      <c r="J28" s="43"/>
    </row>
    <row r="29" spans="1:10" ht="29.25" customHeight="1">
      <c r="A29" s="17" t="s">
        <v>36</v>
      </c>
      <c r="B29" s="39">
        <v>220</v>
      </c>
      <c r="C29" s="40" t="s">
        <v>71</v>
      </c>
      <c r="D29" s="40" t="s">
        <v>71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64">
        <v>0</v>
      </c>
    </row>
    <row r="30" spans="1:10" ht="6.75" customHeight="1">
      <c r="A30" s="520"/>
      <c r="B30" s="521"/>
      <c r="C30" s="521"/>
      <c r="D30" s="521"/>
      <c r="E30" s="521"/>
      <c r="F30" s="521"/>
      <c r="G30" s="521"/>
      <c r="H30" s="522"/>
      <c r="I30" s="48"/>
      <c r="J30" s="49"/>
    </row>
    <row r="31" spans="1:10" s="26" customFormat="1" ht="32.25" customHeight="1">
      <c r="A31" s="23" t="s">
        <v>37</v>
      </c>
      <c r="B31" s="39">
        <v>230</v>
      </c>
      <c r="C31" s="40" t="s">
        <v>71</v>
      </c>
      <c r="D31" s="40" t="s">
        <v>71</v>
      </c>
      <c r="E31" s="51">
        <f aca="true" t="shared" si="2" ref="E31:J31">SUM(E34:E36)</f>
        <v>813700</v>
      </c>
      <c r="F31" s="51">
        <f t="shared" si="2"/>
        <v>813700</v>
      </c>
      <c r="G31" s="51">
        <f t="shared" si="2"/>
        <v>0</v>
      </c>
      <c r="H31" s="51">
        <f t="shared" si="2"/>
        <v>0</v>
      </c>
      <c r="I31" s="51">
        <f t="shared" si="2"/>
        <v>0</v>
      </c>
      <c r="J31" s="64">
        <f t="shared" si="2"/>
        <v>0</v>
      </c>
    </row>
    <row r="32" spans="1:10" ht="12.75" customHeight="1">
      <c r="A32" s="32" t="s">
        <v>81</v>
      </c>
      <c r="B32" s="39"/>
      <c r="C32" s="44"/>
      <c r="D32" s="44"/>
      <c r="E32" s="47"/>
      <c r="F32" s="47"/>
      <c r="G32" s="47"/>
      <c r="H32" s="6"/>
      <c r="I32" s="47"/>
      <c r="J32" s="50"/>
    </row>
    <row r="33" spans="1:13" s="21" customFormat="1" ht="49.5" customHeight="1" hidden="1">
      <c r="A33" s="368" t="s">
        <v>576</v>
      </c>
      <c r="B33" s="363">
        <v>231</v>
      </c>
      <c r="C33" s="363">
        <v>113</v>
      </c>
      <c r="D33" s="363">
        <v>290</v>
      </c>
      <c r="E33" s="364">
        <f>SUM(F33:J33)</f>
        <v>0</v>
      </c>
      <c r="F33" s="364">
        <v>0</v>
      </c>
      <c r="G33" s="364"/>
      <c r="H33" s="365"/>
      <c r="I33" s="366"/>
      <c r="J33" s="367"/>
      <c r="L33" s="55"/>
      <c r="M33" s="56"/>
    </row>
    <row r="34" spans="1:13" s="21" customFormat="1" ht="30">
      <c r="A34" s="32" t="s">
        <v>583</v>
      </c>
      <c r="B34" s="44">
        <v>232</v>
      </c>
      <c r="C34" s="44">
        <v>851</v>
      </c>
      <c r="D34" s="44">
        <v>290</v>
      </c>
      <c r="E34" s="47">
        <f>SUM(F34:J34)</f>
        <v>803950</v>
      </c>
      <c r="F34" s="47">
        <v>803950</v>
      </c>
      <c r="G34" s="47"/>
      <c r="H34" s="80"/>
      <c r="I34" s="57"/>
      <c r="J34" s="54"/>
      <c r="L34" s="55"/>
      <c r="M34" s="56"/>
    </row>
    <row r="35" spans="1:13" s="21" customFormat="1" ht="21" customHeight="1">
      <c r="A35" s="32" t="s">
        <v>82</v>
      </c>
      <c r="B35" s="44">
        <v>233</v>
      </c>
      <c r="C35" s="44">
        <v>852</v>
      </c>
      <c r="D35" s="44">
        <v>290</v>
      </c>
      <c r="E35" s="47">
        <f>SUM(F35:J35)</f>
        <v>5900</v>
      </c>
      <c r="F35" s="47">
        <f>'расчеты 4'!E184</f>
        <v>5900</v>
      </c>
      <c r="G35" s="47"/>
      <c r="H35" s="80"/>
      <c r="I35" s="57"/>
      <c r="J35" s="54"/>
      <c r="L35" s="55"/>
      <c r="M35" s="56"/>
    </row>
    <row r="36" spans="1:13" s="21" customFormat="1" ht="29.25" customHeight="1">
      <c r="A36" s="32" t="s">
        <v>584</v>
      </c>
      <c r="B36" s="44">
        <v>234</v>
      </c>
      <c r="C36" s="44">
        <v>853</v>
      </c>
      <c r="D36" s="44">
        <v>290</v>
      </c>
      <c r="E36" s="47">
        <f>SUM(F36:J36)</f>
        <v>3850</v>
      </c>
      <c r="F36" s="47">
        <f>'расчеты 4'!E196</f>
        <v>3850</v>
      </c>
      <c r="G36" s="47"/>
      <c r="H36" s="80"/>
      <c r="I36" s="57"/>
      <c r="J36" s="54"/>
      <c r="L36" s="55"/>
      <c r="M36" s="56"/>
    </row>
    <row r="37" spans="1:13" s="21" customFormat="1" ht="14.25" customHeight="1" hidden="1">
      <c r="A37" s="368" t="s">
        <v>577</v>
      </c>
      <c r="B37" s="363">
        <v>235</v>
      </c>
      <c r="C37" s="369">
        <v>360</v>
      </c>
      <c r="D37" s="369">
        <v>290</v>
      </c>
      <c r="E37" s="370">
        <f>F37+G37+H37+I37</f>
        <v>0</v>
      </c>
      <c r="F37" s="371">
        <v>0</v>
      </c>
      <c r="G37" s="370"/>
      <c r="H37" s="372"/>
      <c r="I37" s="366"/>
      <c r="J37" s="367"/>
      <c r="L37" s="55"/>
      <c r="M37" s="56"/>
    </row>
    <row r="38" spans="1:10" ht="12" customHeight="1">
      <c r="A38" s="517"/>
      <c r="B38" s="518"/>
      <c r="C38" s="518"/>
      <c r="D38" s="518"/>
      <c r="E38" s="518"/>
      <c r="F38" s="518"/>
      <c r="G38" s="518"/>
      <c r="H38" s="519"/>
      <c r="I38" s="57"/>
      <c r="J38" s="58"/>
    </row>
    <row r="39" spans="1:10" s="26" customFormat="1" ht="30" customHeight="1">
      <c r="A39" s="23" t="s">
        <v>83</v>
      </c>
      <c r="B39" s="39">
        <v>240</v>
      </c>
      <c r="C39" s="18" t="s">
        <v>71</v>
      </c>
      <c r="D39" s="18" t="s">
        <v>71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64">
        <v>0</v>
      </c>
    </row>
    <row r="40" spans="1:10" ht="12" customHeight="1">
      <c r="A40" s="517"/>
      <c r="B40" s="518"/>
      <c r="C40" s="518"/>
      <c r="D40" s="518"/>
      <c r="E40" s="518"/>
      <c r="F40" s="518"/>
      <c r="G40" s="518"/>
      <c r="H40" s="519"/>
      <c r="I40" s="57"/>
      <c r="J40" s="58"/>
    </row>
    <row r="41" spans="1:13" s="26" customFormat="1" ht="32.25" customHeight="1">
      <c r="A41" s="23" t="s">
        <v>84</v>
      </c>
      <c r="B41" s="39">
        <v>250</v>
      </c>
      <c r="C41" s="18" t="s">
        <v>71</v>
      </c>
      <c r="D41" s="18" t="s">
        <v>71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64">
        <v>0</v>
      </c>
      <c r="K41" s="59">
        <f>SUM(K42:K42)</f>
        <v>0</v>
      </c>
      <c r="L41" s="60"/>
      <c r="M41" s="60"/>
    </row>
    <row r="42" spans="1:10" ht="12" customHeight="1">
      <c r="A42" s="517"/>
      <c r="B42" s="518"/>
      <c r="C42" s="518"/>
      <c r="D42" s="518"/>
      <c r="E42" s="518"/>
      <c r="F42" s="518"/>
      <c r="G42" s="518"/>
      <c r="H42" s="519"/>
      <c r="I42" s="57"/>
      <c r="J42" s="58"/>
    </row>
    <row r="43" spans="1:10" s="26" customFormat="1" ht="28.5" customHeight="1">
      <c r="A43" s="23" t="s">
        <v>578</v>
      </c>
      <c r="B43" s="39">
        <v>260</v>
      </c>
      <c r="C43" s="40" t="s">
        <v>71</v>
      </c>
      <c r="D43" s="40" t="s">
        <v>71</v>
      </c>
      <c r="E43" s="51">
        <f>SUM(E45:E60)</f>
        <v>1861400</v>
      </c>
      <c r="F43" s="51">
        <f>SUM(F45:F60)</f>
        <v>1861400</v>
      </c>
      <c r="G43" s="51">
        <f>SUM(G45:G60)</f>
        <v>0</v>
      </c>
      <c r="H43" s="51">
        <f>SUM(H45:H58)</f>
        <v>0</v>
      </c>
      <c r="I43" s="51">
        <f>SUM(I45:I60)</f>
        <v>0</v>
      </c>
      <c r="J43" s="64">
        <f>SUM(J45:J58)</f>
        <v>0</v>
      </c>
    </row>
    <row r="44" spans="1:10" ht="12.75" customHeight="1">
      <c r="A44" s="32" t="s">
        <v>81</v>
      </c>
      <c r="B44" s="39"/>
      <c r="C44" s="44"/>
      <c r="D44" s="44"/>
      <c r="E44" s="47"/>
      <c r="F44" s="47"/>
      <c r="G44" s="47"/>
      <c r="H44" s="6"/>
      <c r="I44" s="47"/>
      <c r="J44" s="50"/>
    </row>
    <row r="45" spans="1:13" s="21" customFormat="1" ht="15.75" customHeight="1">
      <c r="A45" s="32" t="s">
        <v>62</v>
      </c>
      <c r="B45" s="44">
        <v>261</v>
      </c>
      <c r="C45" s="44">
        <v>244</v>
      </c>
      <c r="D45" s="44">
        <v>221</v>
      </c>
      <c r="E45" s="47">
        <f>SUM(F45:J45)</f>
        <v>120000</v>
      </c>
      <c r="F45" s="47">
        <f>120000</f>
        <v>120000</v>
      </c>
      <c r="G45" s="47"/>
      <c r="H45" s="80"/>
      <c r="I45" s="57"/>
      <c r="J45" s="58"/>
      <c r="L45" s="55"/>
      <c r="M45" s="56"/>
    </row>
    <row r="46" spans="1:13" s="21" customFormat="1" ht="0.75" customHeight="1" hidden="1">
      <c r="A46" s="32" t="s">
        <v>63</v>
      </c>
      <c r="B46" s="44">
        <v>262</v>
      </c>
      <c r="C46" s="44">
        <v>244</v>
      </c>
      <c r="D46" s="44">
        <v>222</v>
      </c>
      <c r="E46" s="47">
        <f aca="true" t="shared" si="3" ref="E46:E57">SUM(F46:J46)</f>
        <v>0</v>
      </c>
      <c r="F46" s="47">
        <f>'расчеты 4'!E254</f>
        <v>0</v>
      </c>
      <c r="G46" s="47"/>
      <c r="H46" s="80"/>
      <c r="I46" s="57"/>
      <c r="J46" s="58"/>
      <c r="L46" s="55"/>
      <c r="M46" s="56"/>
    </row>
    <row r="47" spans="1:13" s="21" customFormat="1" ht="15">
      <c r="A47" s="32" t="s">
        <v>85</v>
      </c>
      <c r="B47" s="44">
        <v>262</v>
      </c>
      <c r="C47" s="44">
        <v>244</v>
      </c>
      <c r="D47" s="44">
        <v>223</v>
      </c>
      <c r="E47" s="47">
        <f t="shared" si="3"/>
        <v>0</v>
      </c>
      <c r="F47" s="47">
        <v>0</v>
      </c>
      <c r="G47" s="47"/>
      <c r="H47" s="80"/>
      <c r="I47" s="57"/>
      <c r="J47" s="58"/>
      <c r="L47" s="55"/>
      <c r="M47" s="56"/>
    </row>
    <row r="48" spans="1:13" s="21" customFormat="1" ht="15">
      <c r="A48" s="32" t="s">
        <v>86</v>
      </c>
      <c r="B48" s="44">
        <v>263</v>
      </c>
      <c r="C48" s="44">
        <v>244</v>
      </c>
      <c r="D48" s="44">
        <v>223</v>
      </c>
      <c r="E48" s="47">
        <f t="shared" si="3"/>
        <v>0</v>
      </c>
      <c r="F48" s="47">
        <v>0</v>
      </c>
      <c r="G48" s="47"/>
      <c r="H48" s="80"/>
      <c r="I48" s="57"/>
      <c r="J48" s="58"/>
      <c r="L48" s="55"/>
      <c r="M48" s="56"/>
    </row>
    <row r="49" spans="1:13" s="21" customFormat="1" ht="15">
      <c r="A49" s="32" t="s">
        <v>263</v>
      </c>
      <c r="B49" s="44">
        <v>264</v>
      </c>
      <c r="C49" s="44">
        <v>244</v>
      </c>
      <c r="D49" s="44">
        <v>223</v>
      </c>
      <c r="E49" s="47">
        <f t="shared" si="3"/>
        <v>0</v>
      </c>
      <c r="F49" s="47">
        <v>0</v>
      </c>
      <c r="G49" s="47"/>
      <c r="H49" s="80"/>
      <c r="I49" s="57"/>
      <c r="J49" s="58"/>
      <c r="L49" s="55"/>
      <c r="M49" s="56"/>
    </row>
    <row r="50" spans="1:13" s="21" customFormat="1" ht="15">
      <c r="A50" s="32" t="s">
        <v>87</v>
      </c>
      <c r="B50" s="44">
        <v>265</v>
      </c>
      <c r="C50" s="44">
        <v>244</v>
      </c>
      <c r="D50" s="44">
        <v>223</v>
      </c>
      <c r="E50" s="47">
        <f t="shared" si="3"/>
        <v>0</v>
      </c>
      <c r="F50" s="47">
        <v>0</v>
      </c>
      <c r="G50" s="47"/>
      <c r="H50" s="80"/>
      <c r="I50" s="57"/>
      <c r="J50" s="58"/>
      <c r="L50" s="55"/>
      <c r="M50" s="56"/>
    </row>
    <row r="51" spans="1:13" s="21" customFormat="1" ht="15">
      <c r="A51" s="32" t="s">
        <v>64</v>
      </c>
      <c r="B51" s="44">
        <v>266</v>
      </c>
      <c r="C51" s="44">
        <v>244</v>
      </c>
      <c r="D51" s="44">
        <v>225</v>
      </c>
      <c r="E51" s="47">
        <f t="shared" si="3"/>
        <v>811000</v>
      </c>
      <c r="F51" s="47">
        <v>811000</v>
      </c>
      <c r="G51" s="47">
        <v>0</v>
      </c>
      <c r="H51" s="80"/>
      <c r="I51" s="57"/>
      <c r="J51" s="58"/>
      <c r="L51" s="55"/>
      <c r="M51" s="56"/>
    </row>
    <row r="52" spans="1:13" s="21" customFormat="1" ht="30">
      <c r="A52" s="32" t="s">
        <v>585</v>
      </c>
      <c r="B52" s="44">
        <v>267</v>
      </c>
      <c r="C52" s="45" t="s">
        <v>586</v>
      </c>
      <c r="D52" s="44">
        <v>225</v>
      </c>
      <c r="E52" s="47">
        <f t="shared" si="3"/>
        <v>0</v>
      </c>
      <c r="F52" s="47"/>
      <c r="G52" s="47">
        <v>0</v>
      </c>
      <c r="H52" s="80"/>
      <c r="I52" s="57"/>
      <c r="J52" s="58"/>
      <c r="L52" s="55"/>
      <c r="M52" s="56"/>
    </row>
    <row r="53" spans="1:13" s="21" customFormat="1" ht="30">
      <c r="A53" s="32" t="s">
        <v>118</v>
      </c>
      <c r="B53" s="44">
        <v>268</v>
      </c>
      <c r="C53" s="45" t="s">
        <v>119</v>
      </c>
      <c r="D53" s="44">
        <v>225</v>
      </c>
      <c r="E53" s="47">
        <f t="shared" si="3"/>
        <v>0</v>
      </c>
      <c r="F53" s="47"/>
      <c r="G53" s="47">
        <v>0</v>
      </c>
      <c r="H53" s="80"/>
      <c r="I53" s="57"/>
      <c r="J53" s="58"/>
      <c r="L53" s="55"/>
      <c r="M53" s="56"/>
    </row>
    <row r="54" spans="1:13" s="21" customFormat="1" ht="15">
      <c r="A54" s="32" t="s">
        <v>65</v>
      </c>
      <c r="B54" s="44">
        <v>269</v>
      </c>
      <c r="C54" s="44">
        <v>244</v>
      </c>
      <c r="D54" s="44">
        <v>226</v>
      </c>
      <c r="E54" s="47">
        <f>SUM(F54:J54)</f>
        <v>350000</v>
      </c>
      <c r="F54" s="47">
        <v>350000</v>
      </c>
      <c r="G54" s="47">
        <v>0</v>
      </c>
      <c r="H54" s="80"/>
      <c r="I54" s="57">
        <f>'расчеты 2 и пожертвования'!E434</f>
        <v>0</v>
      </c>
      <c r="J54" s="58"/>
      <c r="L54" s="55"/>
      <c r="M54" s="56"/>
    </row>
    <row r="55" spans="1:13" s="21" customFormat="1" ht="30">
      <c r="A55" s="32" t="s">
        <v>587</v>
      </c>
      <c r="B55" s="44">
        <v>270</v>
      </c>
      <c r="C55" s="44">
        <v>243</v>
      </c>
      <c r="D55" s="44">
        <v>226</v>
      </c>
      <c r="E55" s="47">
        <f t="shared" si="3"/>
        <v>0</v>
      </c>
      <c r="F55" s="47">
        <v>0</v>
      </c>
      <c r="G55" s="47">
        <v>0</v>
      </c>
      <c r="H55" s="80"/>
      <c r="I55" s="57"/>
      <c r="J55" s="58"/>
      <c r="L55" s="55"/>
      <c r="M55" s="56"/>
    </row>
    <row r="56" spans="1:13" s="21" customFormat="1" ht="15" hidden="1">
      <c r="A56" s="143" t="s">
        <v>179</v>
      </c>
      <c r="B56" s="44">
        <v>270</v>
      </c>
      <c r="C56" s="44">
        <v>244</v>
      </c>
      <c r="D56" s="44">
        <v>290</v>
      </c>
      <c r="E56" s="47">
        <f t="shared" si="3"/>
        <v>0</v>
      </c>
      <c r="F56" s="47"/>
      <c r="G56" s="47"/>
      <c r="H56" s="80"/>
      <c r="I56" s="57"/>
      <c r="J56" s="58"/>
      <c r="L56" s="55"/>
      <c r="M56" s="56"/>
    </row>
    <row r="57" spans="1:13" s="21" customFormat="1" ht="30">
      <c r="A57" s="32" t="s">
        <v>588</v>
      </c>
      <c r="B57" s="44">
        <v>271</v>
      </c>
      <c r="C57" s="44">
        <v>244</v>
      </c>
      <c r="D57" s="44">
        <v>310</v>
      </c>
      <c r="E57" s="47">
        <f t="shared" si="3"/>
        <v>163584.8</v>
      </c>
      <c r="F57" s="47">
        <f>'Таблица 2018'!F58</f>
        <v>163584.8</v>
      </c>
      <c r="G57" s="47">
        <v>0</v>
      </c>
      <c r="H57" s="80"/>
      <c r="I57" s="57"/>
      <c r="J57" s="58"/>
      <c r="L57" s="55"/>
      <c r="M57" s="56"/>
    </row>
    <row r="58" spans="1:13" s="21" customFormat="1" ht="30">
      <c r="A58" s="32" t="s">
        <v>88</v>
      </c>
      <c r="B58" s="44">
        <v>272</v>
      </c>
      <c r="C58" s="44">
        <v>244</v>
      </c>
      <c r="D58" s="44">
        <v>310</v>
      </c>
      <c r="E58" s="47">
        <f>SUM(F58:J58)</f>
        <v>176000</v>
      </c>
      <c r="F58" s="47">
        <f>'расчеты 4'!E466</f>
        <v>176000</v>
      </c>
      <c r="G58" s="47">
        <v>0</v>
      </c>
      <c r="H58" s="80"/>
      <c r="I58" s="57">
        <f>'Таблица 2018'!I59</f>
        <v>0</v>
      </c>
      <c r="J58" s="58"/>
      <c r="L58" s="55"/>
      <c r="M58" s="56"/>
    </row>
    <row r="59" spans="1:10" ht="30">
      <c r="A59" s="32" t="s">
        <v>591</v>
      </c>
      <c r="B59" s="44">
        <v>273</v>
      </c>
      <c r="C59" s="44">
        <v>244</v>
      </c>
      <c r="D59" s="44">
        <v>340</v>
      </c>
      <c r="E59" s="47">
        <f>F59+G59+H59+I59</f>
        <v>0</v>
      </c>
      <c r="F59" s="47"/>
      <c r="G59" s="47"/>
      <c r="H59" s="6"/>
      <c r="I59" s="47">
        <v>0</v>
      </c>
      <c r="J59" s="47"/>
    </row>
    <row r="60" spans="1:10" ht="30">
      <c r="A60" s="32" t="s">
        <v>589</v>
      </c>
      <c r="B60" s="44">
        <v>274</v>
      </c>
      <c r="C60" s="44">
        <v>244</v>
      </c>
      <c r="D60" s="44">
        <v>340</v>
      </c>
      <c r="E60" s="47">
        <f>F60+G60+H60+I60</f>
        <v>240815.2</v>
      </c>
      <c r="F60" s="47">
        <f>202215.2+38600</f>
        <v>240815.2</v>
      </c>
      <c r="G60" s="47"/>
      <c r="H60" s="6"/>
      <c r="I60" s="47">
        <v>0</v>
      </c>
      <c r="J60" s="47"/>
    </row>
    <row r="61" spans="1:10" ht="15">
      <c r="A61" s="61"/>
      <c r="B61" s="62"/>
      <c r="C61" s="62"/>
      <c r="D61" s="62"/>
      <c r="E61" s="62"/>
      <c r="F61" s="62"/>
      <c r="G61" s="62"/>
      <c r="H61" s="62"/>
      <c r="I61" s="62"/>
      <c r="J61" s="63"/>
    </row>
    <row r="62" spans="1:10" s="26" customFormat="1" ht="29.25">
      <c r="A62" s="23" t="s">
        <v>89</v>
      </c>
      <c r="B62" s="39">
        <v>300</v>
      </c>
      <c r="C62" s="40" t="s">
        <v>71</v>
      </c>
      <c r="D62" s="40" t="s">
        <v>71</v>
      </c>
      <c r="E62" s="51">
        <f aca="true" t="shared" si="4" ref="E62:J62">E64+E65</f>
        <v>0</v>
      </c>
      <c r="F62" s="51">
        <f t="shared" si="4"/>
        <v>0</v>
      </c>
      <c r="G62" s="51">
        <f t="shared" si="4"/>
        <v>0</v>
      </c>
      <c r="H62" s="51">
        <f t="shared" si="4"/>
        <v>0</v>
      </c>
      <c r="I62" s="51">
        <f t="shared" si="4"/>
        <v>0</v>
      </c>
      <c r="J62" s="64">
        <f t="shared" si="4"/>
        <v>0</v>
      </c>
    </row>
    <row r="63" spans="1:10" ht="0.75" customHeight="1" hidden="1">
      <c r="A63" s="61" t="s">
        <v>81</v>
      </c>
      <c r="B63" s="62"/>
      <c r="C63" s="62"/>
      <c r="D63" s="62"/>
      <c r="E63" s="62"/>
      <c r="F63" s="62"/>
      <c r="G63" s="62"/>
      <c r="H63" s="62"/>
      <c r="I63" s="62"/>
      <c r="J63" s="63"/>
    </row>
    <row r="64" spans="1:10" ht="15" hidden="1">
      <c r="A64" s="32" t="s">
        <v>90</v>
      </c>
      <c r="B64" s="39">
        <v>310</v>
      </c>
      <c r="C64" s="44"/>
      <c r="D64" s="44"/>
      <c r="E64" s="47"/>
      <c r="F64" s="47"/>
      <c r="G64" s="47"/>
      <c r="H64" s="6"/>
      <c r="I64" s="47"/>
      <c r="J64" s="50"/>
    </row>
    <row r="65" spans="1:13" s="21" customFormat="1" ht="15" hidden="1">
      <c r="A65" s="32" t="s">
        <v>91</v>
      </c>
      <c r="B65" s="39">
        <v>320</v>
      </c>
      <c r="C65" s="39"/>
      <c r="D65" s="39"/>
      <c r="E65" s="51"/>
      <c r="F65" s="51"/>
      <c r="G65" s="51"/>
      <c r="H65" s="52"/>
      <c r="I65" s="53"/>
      <c r="J65" s="54"/>
      <c r="L65" s="55"/>
      <c r="M65" s="56"/>
    </row>
    <row r="66" spans="1:13" s="21" customFormat="1" ht="14.25">
      <c r="A66" s="23" t="s">
        <v>92</v>
      </c>
      <c r="B66" s="39">
        <v>400</v>
      </c>
      <c r="C66" s="40" t="s">
        <v>71</v>
      </c>
      <c r="D66" s="40" t="s">
        <v>71</v>
      </c>
      <c r="E66" s="51">
        <f aca="true" t="shared" si="5" ref="E66:J66">E68+E69</f>
        <v>0</v>
      </c>
      <c r="F66" s="51">
        <f t="shared" si="5"/>
        <v>0</v>
      </c>
      <c r="G66" s="51">
        <f t="shared" si="5"/>
        <v>0</v>
      </c>
      <c r="H66" s="51">
        <f t="shared" si="5"/>
        <v>0</v>
      </c>
      <c r="I66" s="51">
        <f t="shared" si="5"/>
        <v>0</v>
      </c>
      <c r="J66" s="64">
        <f t="shared" si="5"/>
        <v>0</v>
      </c>
      <c r="L66" s="55"/>
      <c r="M66" s="56"/>
    </row>
    <row r="67" spans="1:10" ht="15" hidden="1">
      <c r="A67" s="61" t="s">
        <v>81</v>
      </c>
      <c r="B67" s="62"/>
      <c r="C67" s="62"/>
      <c r="D67" s="62"/>
      <c r="E67" s="62"/>
      <c r="F67" s="62"/>
      <c r="G67" s="62"/>
      <c r="H67" s="62"/>
      <c r="I67" s="62"/>
      <c r="J67" s="63"/>
    </row>
    <row r="68" spans="1:13" s="21" customFormat="1" ht="15" hidden="1">
      <c r="A68" s="32" t="s">
        <v>93</v>
      </c>
      <c r="B68" s="39">
        <v>410</v>
      </c>
      <c r="C68" s="39"/>
      <c r="D68" s="39"/>
      <c r="E68" s="51"/>
      <c r="F68" s="51"/>
      <c r="G68" s="51"/>
      <c r="H68" s="52"/>
      <c r="I68" s="53"/>
      <c r="J68" s="54"/>
      <c r="L68" s="55"/>
      <c r="M68" s="56"/>
    </row>
    <row r="69" spans="1:13" s="21" customFormat="1" ht="15" hidden="1">
      <c r="A69" s="32" t="s">
        <v>94</v>
      </c>
      <c r="B69" s="39">
        <v>420</v>
      </c>
      <c r="C69" s="39"/>
      <c r="D69" s="39"/>
      <c r="E69" s="51"/>
      <c r="F69" s="51"/>
      <c r="G69" s="51"/>
      <c r="H69" s="52"/>
      <c r="I69" s="53"/>
      <c r="J69" s="54"/>
      <c r="L69" s="55"/>
      <c r="M69" s="56"/>
    </row>
    <row r="70" spans="1:13" s="21" customFormat="1" ht="14.25">
      <c r="A70" s="17" t="s">
        <v>38</v>
      </c>
      <c r="B70" s="39">
        <v>500</v>
      </c>
      <c r="C70" s="40" t="s">
        <v>71</v>
      </c>
      <c r="D70" s="40" t="s">
        <v>71</v>
      </c>
      <c r="E70" s="51">
        <v>0</v>
      </c>
      <c r="F70" s="51">
        <v>0</v>
      </c>
      <c r="G70" s="51">
        <v>0</v>
      </c>
      <c r="H70" s="51">
        <f>H72+H73</f>
        <v>0</v>
      </c>
      <c r="I70" s="53">
        <f>I72+I73</f>
        <v>0</v>
      </c>
      <c r="J70" s="53">
        <f>J72+J73</f>
        <v>0</v>
      </c>
      <c r="L70" s="55"/>
      <c r="M70" s="56"/>
    </row>
    <row r="71" spans="1:10" ht="15" hidden="1">
      <c r="A71" s="61" t="s">
        <v>6</v>
      </c>
      <c r="B71" s="62"/>
      <c r="C71" s="62"/>
      <c r="D71" s="62"/>
      <c r="E71" s="62"/>
      <c r="F71" s="62"/>
      <c r="G71" s="62"/>
      <c r="H71" s="62"/>
      <c r="I71" s="62"/>
      <c r="J71" s="63"/>
    </row>
    <row r="72" spans="1:13" s="21" customFormat="1" ht="30" hidden="1">
      <c r="A72" s="32" t="s">
        <v>116</v>
      </c>
      <c r="B72" s="44">
        <v>501</v>
      </c>
      <c r="C72" s="40" t="s">
        <v>71</v>
      </c>
      <c r="D72" s="40" t="s">
        <v>71</v>
      </c>
      <c r="E72" s="47">
        <f>SUM(F72:J72)</f>
        <v>0</v>
      </c>
      <c r="F72" s="31" t="s">
        <v>71</v>
      </c>
      <c r="G72" s="31" t="s">
        <v>71</v>
      </c>
      <c r="H72" s="80"/>
      <c r="I72" s="57">
        <v>0</v>
      </c>
      <c r="J72" s="58"/>
      <c r="L72" s="55"/>
      <c r="M72" s="56"/>
    </row>
    <row r="73" spans="1:13" s="21" customFormat="1" ht="15" hidden="1">
      <c r="A73" s="32" t="s">
        <v>117</v>
      </c>
      <c r="B73" s="44">
        <v>502</v>
      </c>
      <c r="C73" s="40" t="s">
        <v>71</v>
      </c>
      <c r="D73" s="40" t="s">
        <v>71</v>
      </c>
      <c r="E73" s="47">
        <f>SUM(F73:J73)</f>
        <v>0</v>
      </c>
      <c r="F73" s="31" t="s">
        <v>71</v>
      </c>
      <c r="G73" s="31" t="s">
        <v>71</v>
      </c>
      <c r="H73" s="80"/>
      <c r="I73" s="57">
        <v>0</v>
      </c>
      <c r="J73" s="58"/>
      <c r="L73" s="55"/>
      <c r="M73" s="56"/>
    </row>
    <row r="74" spans="1:13" s="21" customFormat="1" ht="14.25">
      <c r="A74" s="17" t="s">
        <v>39</v>
      </c>
      <c r="B74" s="39">
        <v>600</v>
      </c>
      <c r="C74" s="40" t="s">
        <v>71</v>
      </c>
      <c r="D74" s="40" t="s">
        <v>71</v>
      </c>
      <c r="E74" s="51"/>
      <c r="F74" s="51">
        <f>E7-E23</f>
        <v>0</v>
      </c>
      <c r="G74" s="51"/>
      <c r="H74" s="51"/>
      <c r="I74" s="53"/>
      <c r="J74" s="53"/>
      <c r="L74" s="55"/>
      <c r="M74" s="56"/>
    </row>
    <row r="75" spans="1:9" ht="15">
      <c r="A75" s="65"/>
      <c r="I75" s="53"/>
    </row>
    <row r="76" ht="15" customHeight="1">
      <c r="A76" s="65"/>
    </row>
    <row r="77" ht="15">
      <c r="A77" s="65"/>
    </row>
    <row r="78" ht="16.5" customHeight="1">
      <c r="A78" s="67"/>
    </row>
    <row r="81" spans="2:4" ht="15">
      <c r="B81" s="11" t="s">
        <v>95</v>
      </c>
      <c r="C81" s="11" t="s">
        <v>95</v>
      </c>
      <c r="D81" s="11" t="s">
        <v>95</v>
      </c>
    </row>
  </sheetData>
  <sheetProtection/>
  <mergeCells count="18">
    <mergeCell ref="A40:H40"/>
    <mergeCell ref="A42:H42"/>
    <mergeCell ref="C6:D6"/>
    <mergeCell ref="A8:J8"/>
    <mergeCell ref="A22:H22"/>
    <mergeCell ref="A28:H28"/>
    <mergeCell ref="A30:H30"/>
    <mergeCell ref="A38:H38"/>
    <mergeCell ref="A1:J1"/>
    <mergeCell ref="A3:A5"/>
    <mergeCell ref="B3:B5"/>
    <mergeCell ref="C3:D4"/>
    <mergeCell ref="E3:J3"/>
    <mergeCell ref="E4:E5"/>
    <mergeCell ref="F4:F5"/>
    <mergeCell ref="G4:G5"/>
    <mergeCell ref="H4:H5"/>
    <mergeCell ref="I4:J4"/>
  </mergeCells>
  <printOptions/>
  <pageMargins left="0.7874015748031497" right="0.3937007874015748" top="0.23" bottom="0.28" header="0.1968503937007874" footer="0.19"/>
  <pageSetup horizontalDpi="600" verticalDpi="600" orientation="portrait" paperSize="9" scale="46" r:id="rId1"/>
  <colBreaks count="1" manualBreakCount="1">
    <brk id="10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4">
      <selection activeCell="A21" sqref="A21:I21"/>
    </sheetView>
  </sheetViews>
  <sheetFormatPr defaultColWidth="9.140625" defaultRowHeight="15"/>
  <cols>
    <col min="1" max="1" width="23.57421875" style="1" customWidth="1"/>
    <col min="2" max="2" width="7.28125" style="1" customWidth="1"/>
    <col min="3" max="3" width="8.140625" style="1" customWidth="1"/>
    <col min="4" max="5" width="12.7109375" style="1" bestFit="1" customWidth="1"/>
    <col min="6" max="6" width="13.7109375" style="1" customWidth="1"/>
    <col min="7" max="9" width="12.7109375" style="1" bestFit="1" customWidth="1"/>
    <col min="10" max="10" width="12.00390625" style="1" customWidth="1"/>
    <col min="11" max="11" width="9.7109375" style="1" customWidth="1"/>
    <col min="12" max="12" width="13.8515625" style="1" customWidth="1"/>
  </cols>
  <sheetData>
    <row r="1" spans="11:12" ht="15">
      <c r="K1" s="592" t="s">
        <v>0</v>
      </c>
      <c r="L1" s="592"/>
    </row>
    <row r="2" spans="1:12" ht="15.75">
      <c r="A2" s="582" t="s">
        <v>47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</row>
    <row r="3" spans="1:12" ht="15.75">
      <c r="A3" s="582" t="s">
        <v>721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</row>
    <row r="4" ht="5.25" customHeight="1" thickBot="1">
      <c r="A4" s="2"/>
    </row>
    <row r="5" spans="1:12" ht="27" customHeight="1">
      <c r="A5" s="585" t="s">
        <v>1</v>
      </c>
      <c r="B5" s="588" t="s">
        <v>2</v>
      </c>
      <c r="C5" s="588" t="s">
        <v>3</v>
      </c>
      <c r="D5" s="588" t="s">
        <v>4</v>
      </c>
      <c r="E5" s="588"/>
      <c r="F5" s="588"/>
      <c r="G5" s="588"/>
      <c r="H5" s="588"/>
      <c r="I5" s="588"/>
      <c r="J5" s="588"/>
      <c r="K5" s="588"/>
      <c r="L5" s="593"/>
    </row>
    <row r="6" spans="1:12" ht="15">
      <c r="A6" s="586"/>
      <c r="B6" s="576"/>
      <c r="C6" s="576"/>
      <c r="D6" s="576" t="s">
        <v>5</v>
      </c>
      <c r="E6" s="576"/>
      <c r="F6" s="576"/>
      <c r="G6" s="576" t="s">
        <v>6</v>
      </c>
      <c r="H6" s="576"/>
      <c r="I6" s="576"/>
      <c r="J6" s="576"/>
      <c r="K6" s="576"/>
      <c r="L6" s="577"/>
    </row>
    <row r="7" spans="1:12" ht="82.5" customHeight="1">
      <c r="A7" s="586"/>
      <c r="B7" s="576"/>
      <c r="C7" s="576"/>
      <c r="D7" s="576"/>
      <c r="E7" s="576"/>
      <c r="F7" s="576"/>
      <c r="G7" s="576" t="s">
        <v>45</v>
      </c>
      <c r="H7" s="576"/>
      <c r="I7" s="576"/>
      <c r="J7" s="576" t="s">
        <v>46</v>
      </c>
      <c r="K7" s="576"/>
      <c r="L7" s="577"/>
    </row>
    <row r="8" spans="1:12" ht="68.25" customHeight="1" thickBot="1">
      <c r="A8" s="587"/>
      <c r="B8" s="589"/>
      <c r="C8" s="589"/>
      <c r="D8" s="85" t="s">
        <v>709</v>
      </c>
      <c r="E8" s="85" t="s">
        <v>710</v>
      </c>
      <c r="F8" s="85" t="s">
        <v>711</v>
      </c>
      <c r="G8" s="85" t="s">
        <v>709</v>
      </c>
      <c r="H8" s="85" t="s">
        <v>712</v>
      </c>
      <c r="I8" s="85" t="s">
        <v>711</v>
      </c>
      <c r="J8" s="85" t="s">
        <v>709</v>
      </c>
      <c r="K8" s="85" t="s">
        <v>712</v>
      </c>
      <c r="L8" s="85" t="s">
        <v>711</v>
      </c>
    </row>
    <row r="9" spans="1:12" ht="15.75" thickBot="1">
      <c r="A9" s="82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6">
        <v>12</v>
      </c>
    </row>
    <row r="10" spans="1:12" ht="45" customHeight="1">
      <c r="A10" s="87" t="s">
        <v>7</v>
      </c>
      <c r="B10" s="84">
        <v>1</v>
      </c>
      <c r="C10" s="84" t="s">
        <v>8</v>
      </c>
      <c r="D10" s="94">
        <f>G10+J10</f>
        <v>11901440.999289999</v>
      </c>
      <c r="E10" s="94">
        <f>H10+K10</f>
        <v>1871415</v>
      </c>
      <c r="F10" s="94">
        <f>I10+L10</f>
        <v>1861400</v>
      </c>
      <c r="G10" s="94">
        <f>G13+G11</f>
        <v>11901440.999289999</v>
      </c>
      <c r="H10" s="94">
        <f>H13+H11</f>
        <v>1871415</v>
      </c>
      <c r="I10" s="94">
        <f>I13+I11</f>
        <v>1861400</v>
      </c>
      <c r="J10" s="94">
        <f>J13</f>
        <v>0</v>
      </c>
      <c r="K10" s="94">
        <f>K13</f>
        <v>0</v>
      </c>
      <c r="L10" s="94">
        <f>L13</f>
        <v>0</v>
      </c>
    </row>
    <row r="11" spans="1:12" ht="56.25" customHeight="1">
      <c r="A11" s="88" t="s">
        <v>9</v>
      </c>
      <c r="B11" s="4">
        <v>1001</v>
      </c>
      <c r="C11" s="4" t="s">
        <v>8</v>
      </c>
      <c r="D11" s="92">
        <v>0</v>
      </c>
      <c r="E11" s="92">
        <f>H11+K11</f>
        <v>0</v>
      </c>
      <c r="F11" s="92">
        <f>I11+L11</f>
        <v>0</v>
      </c>
      <c r="G11" s="92">
        <f>D11</f>
        <v>0</v>
      </c>
      <c r="H11" s="92"/>
      <c r="I11" s="92"/>
      <c r="J11" s="92"/>
      <c r="K11" s="92"/>
      <c r="L11" s="93"/>
    </row>
    <row r="12" spans="1:12" ht="15">
      <c r="A12" s="88"/>
      <c r="B12" s="81"/>
      <c r="C12" s="81"/>
      <c r="D12" s="92"/>
      <c r="E12" s="92"/>
      <c r="F12" s="92"/>
      <c r="G12" s="92"/>
      <c r="H12" s="92"/>
      <c r="I12" s="92"/>
      <c r="J12" s="92"/>
      <c r="K12" s="92"/>
      <c r="L12" s="93"/>
    </row>
    <row r="13" spans="1:12" s="193" customFormat="1" ht="40.5" customHeight="1">
      <c r="A13" s="88" t="s">
        <v>10</v>
      </c>
      <c r="B13" s="4">
        <v>2001</v>
      </c>
      <c r="C13" s="4">
        <v>2018</v>
      </c>
      <c r="D13" s="92">
        <f>G13+J13</f>
        <v>11901440.999289999</v>
      </c>
      <c r="E13" s="92">
        <f>'Таблица 2019'!E43</f>
        <v>1871415</v>
      </c>
      <c r="F13" s="92">
        <f>'Таблица 2020'!E43</f>
        <v>1861400</v>
      </c>
      <c r="G13" s="192">
        <f>'Таблица 2018'!E44</f>
        <v>11901440.999289999</v>
      </c>
      <c r="H13" s="92">
        <f>E13</f>
        <v>1871415</v>
      </c>
      <c r="I13" s="92">
        <f>F13</f>
        <v>1861400</v>
      </c>
      <c r="J13" s="92"/>
      <c r="K13" s="92"/>
      <c r="L13" s="93"/>
    </row>
    <row r="14" spans="1:12" ht="15.75" thickBo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1"/>
    </row>
    <row r="15" ht="15">
      <c r="A15" s="2"/>
    </row>
    <row r="16" ht="15">
      <c r="A16" s="2"/>
    </row>
    <row r="17" spans="1:9" ht="15">
      <c r="A17" s="2"/>
      <c r="H17" s="572" t="s">
        <v>40</v>
      </c>
      <c r="I17" s="572"/>
    </row>
    <row r="18" spans="1:12" ht="15">
      <c r="A18" s="2"/>
      <c r="K18" s="5"/>
      <c r="L18" s="5"/>
    </row>
    <row r="19" spans="1:12" ht="15.75">
      <c r="A19" s="582" t="s">
        <v>48</v>
      </c>
      <c r="B19" s="582"/>
      <c r="C19" s="582"/>
      <c r="D19" s="582"/>
      <c r="E19" s="582"/>
      <c r="F19" s="582"/>
      <c r="G19" s="582"/>
      <c r="H19" s="582"/>
      <c r="I19" s="582"/>
      <c r="J19" s="106"/>
      <c r="K19" s="106"/>
      <c r="L19" s="106"/>
    </row>
    <row r="20" spans="1:12" ht="14.25" customHeight="1">
      <c r="A20" s="582" t="s">
        <v>722</v>
      </c>
      <c r="B20" s="582"/>
      <c r="C20" s="582"/>
      <c r="D20" s="582"/>
      <c r="E20" s="582"/>
      <c r="F20" s="582"/>
      <c r="G20" s="582"/>
      <c r="H20" s="582"/>
      <c r="I20" s="582"/>
      <c r="J20" s="106"/>
      <c r="K20" s="106"/>
      <c r="L20" s="106"/>
    </row>
    <row r="21" spans="1:12" ht="14.25" customHeight="1">
      <c r="A21" s="582" t="s">
        <v>185</v>
      </c>
      <c r="B21" s="582"/>
      <c r="C21" s="582"/>
      <c r="D21" s="582"/>
      <c r="E21" s="582"/>
      <c r="F21" s="582"/>
      <c r="G21" s="582"/>
      <c r="H21" s="582"/>
      <c r="I21" s="582"/>
      <c r="J21" s="106"/>
      <c r="K21" s="106"/>
      <c r="L21" s="106"/>
    </row>
    <row r="22" spans="1:12" ht="14.25" customHeight="1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9" ht="49.5" customHeight="1" thickBot="1">
      <c r="A23" s="565" t="s">
        <v>1</v>
      </c>
      <c r="B23" s="566"/>
      <c r="C23" s="566"/>
      <c r="D23" s="566"/>
      <c r="E23" s="578" t="s">
        <v>2</v>
      </c>
      <c r="F23" s="578"/>
      <c r="G23" s="573" t="s">
        <v>112</v>
      </c>
      <c r="H23" s="574"/>
      <c r="I23" s="575"/>
    </row>
    <row r="24" spans="1:9" ht="14.25" customHeight="1" thickBot="1">
      <c r="A24" s="549">
        <v>1</v>
      </c>
      <c r="B24" s="550"/>
      <c r="C24" s="550"/>
      <c r="D24" s="550"/>
      <c r="E24" s="558">
        <v>2</v>
      </c>
      <c r="F24" s="559"/>
      <c r="G24" s="558">
        <v>3</v>
      </c>
      <c r="H24" s="560"/>
      <c r="I24" s="561"/>
    </row>
    <row r="25" spans="1:9" ht="14.25" customHeight="1">
      <c r="A25" s="590" t="s">
        <v>38</v>
      </c>
      <c r="B25" s="591"/>
      <c r="C25" s="591"/>
      <c r="D25" s="591"/>
      <c r="E25" s="569" t="s">
        <v>49</v>
      </c>
      <c r="F25" s="569"/>
      <c r="G25" s="551"/>
      <c r="H25" s="551"/>
      <c r="I25" s="552"/>
    </row>
    <row r="26" spans="1:9" ht="14.25" customHeight="1">
      <c r="A26" s="563" t="s">
        <v>39</v>
      </c>
      <c r="B26" s="564"/>
      <c r="C26" s="564"/>
      <c r="D26" s="564"/>
      <c r="E26" s="579" t="s">
        <v>50</v>
      </c>
      <c r="F26" s="579"/>
      <c r="G26" s="580"/>
      <c r="H26" s="580"/>
      <c r="I26" s="581"/>
    </row>
    <row r="27" spans="1:9" ht="15">
      <c r="A27" s="563" t="s">
        <v>41</v>
      </c>
      <c r="B27" s="564"/>
      <c r="C27" s="564"/>
      <c r="D27" s="564"/>
      <c r="E27" s="579" t="s">
        <v>51</v>
      </c>
      <c r="F27" s="579"/>
      <c r="G27" s="580"/>
      <c r="H27" s="580"/>
      <c r="I27" s="581"/>
    </row>
    <row r="28" spans="1:9" ht="15">
      <c r="A28" s="563"/>
      <c r="B28" s="564"/>
      <c r="C28" s="564"/>
      <c r="D28" s="564"/>
      <c r="E28" s="580"/>
      <c r="F28" s="580"/>
      <c r="G28" s="580"/>
      <c r="H28" s="580"/>
      <c r="I28" s="581"/>
    </row>
    <row r="29" spans="1:9" ht="15.75" thickBot="1">
      <c r="A29" s="583" t="s">
        <v>42</v>
      </c>
      <c r="B29" s="584"/>
      <c r="C29" s="584"/>
      <c r="D29" s="584"/>
      <c r="E29" s="571" t="s">
        <v>52</v>
      </c>
      <c r="F29" s="571"/>
      <c r="G29" s="553"/>
      <c r="H29" s="553"/>
      <c r="I29" s="554"/>
    </row>
    <row r="32" spans="1:9" ht="15">
      <c r="A32" s="2"/>
      <c r="H32" s="572" t="s">
        <v>44</v>
      </c>
      <c r="I32" s="572"/>
    </row>
    <row r="33" spans="1:12" ht="15.75">
      <c r="A33" s="582" t="s">
        <v>113</v>
      </c>
      <c r="B33" s="582"/>
      <c r="C33" s="582"/>
      <c r="D33" s="582"/>
      <c r="E33" s="582"/>
      <c r="F33" s="582"/>
      <c r="G33" s="582"/>
      <c r="H33" s="582"/>
      <c r="I33" s="582"/>
      <c r="J33" s="106"/>
      <c r="K33" s="106"/>
      <c r="L33" s="106"/>
    </row>
    <row r="34" spans="1:12" ht="14.25" customHeight="1" thickBot="1">
      <c r="A34" s="582"/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</row>
    <row r="35" spans="1:9" ht="49.5" customHeight="1" thickBot="1">
      <c r="A35" s="565" t="s">
        <v>1</v>
      </c>
      <c r="B35" s="566"/>
      <c r="C35" s="566"/>
      <c r="D35" s="566"/>
      <c r="E35" s="578" t="s">
        <v>2</v>
      </c>
      <c r="F35" s="578"/>
      <c r="G35" s="573" t="s">
        <v>181</v>
      </c>
      <c r="H35" s="574"/>
      <c r="I35" s="575"/>
    </row>
    <row r="36" spans="1:9" ht="14.25" customHeight="1" thickBot="1">
      <c r="A36" s="549">
        <v>1</v>
      </c>
      <c r="B36" s="550"/>
      <c r="C36" s="550"/>
      <c r="D36" s="550"/>
      <c r="E36" s="558">
        <v>2</v>
      </c>
      <c r="F36" s="559"/>
      <c r="G36" s="558">
        <v>3</v>
      </c>
      <c r="H36" s="560"/>
      <c r="I36" s="561"/>
    </row>
    <row r="37" spans="1:9" ht="23.25" customHeight="1">
      <c r="A37" s="567" t="s">
        <v>43</v>
      </c>
      <c r="B37" s="568"/>
      <c r="C37" s="568"/>
      <c r="D37" s="568"/>
      <c r="E37" s="569" t="s">
        <v>49</v>
      </c>
      <c r="F37" s="569"/>
      <c r="G37" s="551"/>
      <c r="H37" s="551"/>
      <c r="I37" s="552"/>
    </row>
    <row r="38" spans="1:9" ht="57.75" customHeight="1" thickBot="1">
      <c r="A38" s="555" t="s">
        <v>114</v>
      </c>
      <c r="B38" s="556"/>
      <c r="C38" s="556"/>
      <c r="D38" s="557"/>
      <c r="E38" s="571" t="s">
        <v>50</v>
      </c>
      <c r="F38" s="571"/>
      <c r="G38" s="553"/>
      <c r="H38" s="553"/>
      <c r="I38" s="554"/>
    </row>
    <row r="41" spans="1:12" ht="15">
      <c r="A41" s="3"/>
      <c r="D41"/>
      <c r="E41"/>
      <c r="F41"/>
      <c r="G41"/>
      <c r="H41"/>
      <c r="I41"/>
      <c r="J41"/>
      <c r="K41"/>
      <c r="L41"/>
    </row>
    <row r="42" spans="1:12" ht="15">
      <c r="A42" s="1" t="s">
        <v>182</v>
      </c>
      <c r="B42" s="7"/>
      <c r="C42" s="562"/>
      <c r="D42" s="562"/>
      <c r="E42"/>
      <c r="F42" s="570" t="s">
        <v>691</v>
      </c>
      <c r="G42" s="570"/>
      <c r="H42" s="570"/>
      <c r="I42"/>
      <c r="J42"/>
      <c r="K42"/>
      <c r="L42"/>
    </row>
    <row r="43" spans="2:12" ht="15">
      <c r="B43" s="7"/>
      <c r="C43" s="5"/>
      <c r="D43"/>
      <c r="E43"/>
      <c r="F43"/>
      <c r="G43"/>
      <c r="H43"/>
      <c r="I43"/>
      <c r="J43"/>
      <c r="K43"/>
      <c r="L43"/>
    </row>
    <row r="44" spans="1:12" ht="15">
      <c r="A44" s="1" t="s">
        <v>61</v>
      </c>
      <c r="B44" s="7"/>
      <c r="C44" s="562"/>
      <c r="D44" s="562"/>
      <c r="E44"/>
      <c r="F44" s="151" t="s">
        <v>207</v>
      </c>
      <c r="G44" s="151"/>
      <c r="H44" s="151"/>
      <c r="I44" s="152"/>
      <c r="J44"/>
      <c r="K44"/>
      <c r="L44"/>
    </row>
    <row r="45" spans="2:12" ht="15">
      <c r="B45" s="7"/>
      <c r="C45" s="5"/>
      <c r="D45"/>
      <c r="E45"/>
      <c r="F45"/>
      <c r="G45"/>
      <c r="H45"/>
      <c r="I45"/>
      <c r="J45"/>
      <c r="K45"/>
      <c r="L45"/>
    </row>
    <row r="46" spans="1:12" ht="15">
      <c r="A46" s="1" t="s">
        <v>183</v>
      </c>
      <c r="B46" s="7"/>
      <c r="C46" s="562"/>
      <c r="D46" s="562"/>
      <c r="E46"/>
      <c r="F46" s="151" t="s">
        <v>207</v>
      </c>
      <c r="G46" s="151"/>
      <c r="H46" s="151"/>
      <c r="I46" s="152"/>
      <c r="J46"/>
      <c r="K46"/>
      <c r="L46"/>
    </row>
    <row r="48" ht="15">
      <c r="A48" s="1" t="s">
        <v>674</v>
      </c>
    </row>
  </sheetData>
  <sheetProtection/>
  <mergeCells count="55">
    <mergeCell ref="K1:L1"/>
    <mergeCell ref="G7:I7"/>
    <mergeCell ref="J7:L7"/>
    <mergeCell ref="G23:I23"/>
    <mergeCell ref="D6:F7"/>
    <mergeCell ref="A19:I19"/>
    <mergeCell ref="A21:I21"/>
    <mergeCell ref="D5:L5"/>
    <mergeCell ref="A2:L2"/>
    <mergeCell ref="A3:L3"/>
    <mergeCell ref="G27:I27"/>
    <mergeCell ref="H17:I17"/>
    <mergeCell ref="A20:I20"/>
    <mergeCell ref="A26:D26"/>
    <mergeCell ref="G24:I24"/>
    <mergeCell ref="A25:D25"/>
    <mergeCell ref="E25:F25"/>
    <mergeCell ref="G25:I25"/>
    <mergeCell ref="A24:D24"/>
    <mergeCell ref="A29:D29"/>
    <mergeCell ref="E29:F29"/>
    <mergeCell ref="E27:F27"/>
    <mergeCell ref="E28:F28"/>
    <mergeCell ref="A5:A8"/>
    <mergeCell ref="B5:B8"/>
    <mergeCell ref="C5:C8"/>
    <mergeCell ref="A27:D27"/>
    <mergeCell ref="E23:F23"/>
    <mergeCell ref="A23:D23"/>
    <mergeCell ref="G35:I35"/>
    <mergeCell ref="G6:L6"/>
    <mergeCell ref="E35:F35"/>
    <mergeCell ref="E26:F26"/>
    <mergeCell ref="G26:I26"/>
    <mergeCell ref="E24:F24"/>
    <mergeCell ref="G28:I28"/>
    <mergeCell ref="G29:I29"/>
    <mergeCell ref="A34:L34"/>
    <mergeCell ref="A33:I33"/>
    <mergeCell ref="C42:D42"/>
    <mergeCell ref="A28:D28"/>
    <mergeCell ref="C46:D46"/>
    <mergeCell ref="A35:D35"/>
    <mergeCell ref="A37:D37"/>
    <mergeCell ref="E37:F37"/>
    <mergeCell ref="F42:H42"/>
    <mergeCell ref="E38:F38"/>
    <mergeCell ref="C44:D44"/>
    <mergeCell ref="H32:I32"/>
    <mergeCell ref="A36:D36"/>
    <mergeCell ref="G37:I37"/>
    <mergeCell ref="G38:I38"/>
    <mergeCell ref="A38:D38"/>
    <mergeCell ref="E36:F36"/>
    <mergeCell ref="G36:I36"/>
  </mergeCells>
  <printOptions/>
  <pageMargins left="0.7" right="0.22" top="0.28" bottom="0.31" header="0.3" footer="0.3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9"/>
  <sheetViews>
    <sheetView view="pageBreakPreview" zoomScale="90" zoomScaleSheetLayoutView="90" zoomScalePageLayoutView="0" workbookViewId="0" topLeftCell="A514">
      <selection activeCell="E34" sqref="E34:E51"/>
    </sheetView>
  </sheetViews>
  <sheetFormatPr defaultColWidth="9.140625" defaultRowHeight="15"/>
  <cols>
    <col min="1" max="1" width="9.140625" style="109" customWidth="1"/>
    <col min="2" max="2" width="41.421875" style="109" customWidth="1"/>
    <col min="3" max="3" width="15.57421875" style="109" customWidth="1"/>
    <col min="4" max="4" width="17.28125" style="109" customWidth="1"/>
    <col min="5" max="5" width="18.28125" style="109" customWidth="1"/>
    <col min="6" max="6" width="21.140625" style="109" customWidth="1"/>
    <col min="7" max="7" width="12.7109375" style="109" customWidth="1"/>
    <col min="8" max="8" width="13.7109375" style="109" customWidth="1"/>
    <col min="9" max="9" width="14.140625" style="109" customWidth="1"/>
    <col min="10" max="10" width="14.00390625" style="109" customWidth="1"/>
    <col min="11" max="11" width="16.7109375" style="109" customWidth="1"/>
    <col min="12" max="12" width="16.140625" style="109" customWidth="1"/>
    <col min="13" max="15" width="14.140625" style="109" customWidth="1"/>
    <col min="16" max="16384" width="9.140625" style="109" customWidth="1"/>
  </cols>
  <sheetData>
    <row r="1" spans="1:10" ht="15.75">
      <c r="A1" s="670" t="s">
        <v>399</v>
      </c>
      <c r="B1" s="670"/>
      <c r="C1" s="670"/>
      <c r="D1" s="670"/>
      <c r="E1" s="670"/>
      <c r="F1" s="670"/>
      <c r="G1" s="670"/>
      <c r="H1" s="670"/>
      <c r="I1" s="670"/>
      <c r="J1" s="236"/>
    </row>
    <row r="2" spans="1:10" ht="15.75">
      <c r="A2" s="671" t="s">
        <v>199</v>
      </c>
      <c r="B2" s="671"/>
      <c r="C2" s="671"/>
      <c r="D2" s="671"/>
      <c r="E2" s="671"/>
      <c r="F2" s="671"/>
      <c r="G2" s="671"/>
      <c r="H2" s="671"/>
      <c r="I2" s="671"/>
      <c r="J2" s="236"/>
    </row>
    <row r="3" spans="1:10" ht="12.75">
      <c r="A3" s="108"/>
      <c r="B3" s="108"/>
      <c r="C3" s="108"/>
      <c r="D3" s="108"/>
      <c r="E3" s="108"/>
      <c r="F3" s="108"/>
      <c r="G3" s="112" t="s">
        <v>187</v>
      </c>
      <c r="H3" s="112"/>
      <c r="I3" s="112"/>
      <c r="J3" s="112"/>
    </row>
    <row r="4" spans="1:10" s="111" customFormat="1" ht="12.75">
      <c r="A4" s="623" t="s">
        <v>723</v>
      </c>
      <c r="B4" s="623"/>
      <c r="C4" s="623"/>
      <c r="D4" s="623"/>
      <c r="E4" s="623"/>
      <c r="F4" s="623"/>
      <c r="G4" s="623"/>
      <c r="H4" s="623"/>
      <c r="I4" s="623"/>
      <c r="J4" s="131"/>
    </row>
    <row r="5" s="111" customFormat="1" ht="5.25" customHeight="1">
      <c r="A5" s="108"/>
    </row>
    <row r="6" spans="1:10" s="111" customFormat="1" ht="17.25" customHeight="1">
      <c r="A6" s="623" t="s">
        <v>124</v>
      </c>
      <c r="B6" s="623"/>
      <c r="C6" s="623"/>
      <c r="D6" s="623"/>
      <c r="E6" s="623"/>
      <c r="F6" s="623"/>
      <c r="G6" s="623"/>
      <c r="H6" s="623"/>
      <c r="I6" s="623"/>
      <c r="J6" s="131"/>
    </row>
    <row r="7" spans="1:10" s="112" customFormat="1" ht="17.25" customHeight="1">
      <c r="A7" s="600" t="s">
        <v>498</v>
      </c>
      <c r="B7" s="600"/>
      <c r="C7" s="373"/>
      <c r="D7" s="373"/>
      <c r="E7" s="373"/>
      <c r="F7" s="373"/>
      <c r="G7" s="373"/>
      <c r="H7" s="373"/>
      <c r="I7" s="373"/>
      <c r="J7" s="373"/>
    </row>
    <row r="8" spans="1:2" s="111" customFormat="1" ht="12.75" customHeight="1">
      <c r="A8" s="600" t="s">
        <v>499</v>
      </c>
      <c r="B8" s="600"/>
    </row>
    <row r="9" spans="1:9" s="112" customFormat="1" ht="17.25" customHeight="1">
      <c r="A9" s="600" t="s">
        <v>354</v>
      </c>
      <c r="B9" s="600"/>
      <c r="C9" s="600"/>
      <c r="D9" s="600"/>
      <c r="E9" s="600"/>
      <c r="F9" s="600"/>
      <c r="G9" s="600"/>
      <c r="H9" s="600"/>
      <c r="I9" s="600"/>
    </row>
    <row r="10" spans="1:10" s="132" customFormat="1" ht="17.25" customHeight="1">
      <c r="A10" s="639" t="s">
        <v>121</v>
      </c>
      <c r="B10" s="639"/>
      <c r="C10" s="639"/>
      <c r="D10" s="639"/>
      <c r="E10" s="639"/>
      <c r="F10" s="639"/>
      <c r="G10" s="639"/>
      <c r="H10" s="639"/>
      <c r="I10" s="639"/>
      <c r="J10" s="131"/>
    </row>
    <row r="11" spans="1:9" s="111" customFormat="1" ht="34.5" customHeight="1">
      <c r="A11" s="637" t="s">
        <v>125</v>
      </c>
      <c r="B11" s="637" t="s">
        <v>120</v>
      </c>
      <c r="C11" s="637" t="s">
        <v>126</v>
      </c>
      <c r="D11" s="624" t="s">
        <v>127</v>
      </c>
      <c r="E11" s="636"/>
      <c r="F11" s="636"/>
      <c r="G11" s="625"/>
      <c r="H11" s="637" t="s">
        <v>128</v>
      </c>
      <c r="I11" s="628" t="s">
        <v>724</v>
      </c>
    </row>
    <row r="12" spans="1:9" s="111" customFormat="1" ht="12.75" customHeight="1">
      <c r="A12" s="629"/>
      <c r="B12" s="629"/>
      <c r="C12" s="629"/>
      <c r="D12" s="637" t="s">
        <v>30</v>
      </c>
      <c r="E12" s="624" t="s">
        <v>6</v>
      </c>
      <c r="F12" s="636"/>
      <c r="G12" s="625"/>
      <c r="H12" s="629"/>
      <c r="I12" s="629"/>
    </row>
    <row r="13" spans="1:16" s="111" customFormat="1" ht="54.75" customHeight="1">
      <c r="A13" s="630"/>
      <c r="B13" s="630"/>
      <c r="C13" s="630"/>
      <c r="D13" s="630"/>
      <c r="E13" s="122" t="s">
        <v>129</v>
      </c>
      <c r="F13" s="122" t="s">
        <v>130</v>
      </c>
      <c r="G13" s="122" t="s">
        <v>131</v>
      </c>
      <c r="H13" s="630"/>
      <c r="I13" s="630"/>
      <c r="L13" s="111" t="s">
        <v>668</v>
      </c>
      <c r="M13" s="111" t="s">
        <v>669</v>
      </c>
      <c r="N13" s="111" t="s">
        <v>671</v>
      </c>
      <c r="P13" s="111" t="s">
        <v>670</v>
      </c>
    </row>
    <row r="14" spans="1:16" s="123" customFormat="1" ht="12.75">
      <c r="A14" s="122">
        <v>1</v>
      </c>
      <c r="B14" s="122">
        <v>2</v>
      </c>
      <c r="C14" s="122">
        <v>3</v>
      </c>
      <c r="D14" s="122">
        <v>4</v>
      </c>
      <c r="E14" s="122">
        <v>5</v>
      </c>
      <c r="F14" s="122">
        <v>6</v>
      </c>
      <c r="G14" s="122">
        <v>7</v>
      </c>
      <c r="H14" s="122">
        <v>8</v>
      </c>
      <c r="I14" s="122">
        <v>9</v>
      </c>
      <c r="L14" s="123">
        <v>7500</v>
      </c>
      <c r="M14" s="123">
        <v>7650</v>
      </c>
      <c r="P14" s="123">
        <v>7800</v>
      </c>
    </row>
    <row r="15" spans="1:10" s="111" customFormat="1" ht="12.75">
      <c r="A15" s="348" t="s">
        <v>460</v>
      </c>
      <c r="B15" s="164" t="s">
        <v>61</v>
      </c>
      <c r="C15" s="125">
        <v>1</v>
      </c>
      <c r="D15" s="153">
        <f>E15+F15+G15</f>
        <v>20790</v>
      </c>
      <c r="E15" s="162">
        <v>15400</v>
      </c>
      <c r="F15" s="153"/>
      <c r="G15" s="465">
        <f>E15*35%</f>
        <v>5390</v>
      </c>
      <c r="H15" s="153">
        <f>D15*20%</f>
        <v>4158</v>
      </c>
      <c r="I15" s="153">
        <f>(D15+H15)*C15*8.91</f>
        <v>222286.68</v>
      </c>
      <c r="J15" s="375">
        <f aca="true" t="shared" si="0" ref="J15:J62">D15+H15</f>
        <v>24948</v>
      </c>
    </row>
    <row r="16" spans="1:11" s="111" customFormat="1" ht="12.75">
      <c r="A16" s="347" t="s">
        <v>461</v>
      </c>
      <c r="B16" s="164" t="s">
        <v>232</v>
      </c>
      <c r="C16" s="125">
        <v>1</v>
      </c>
      <c r="D16" s="153">
        <f aca="true" t="shared" si="1" ref="D16:D32">E16+F16+G16</f>
        <v>20020</v>
      </c>
      <c r="E16" s="162">
        <v>15400</v>
      </c>
      <c r="F16" s="153"/>
      <c r="G16" s="465">
        <f>E16*30%</f>
        <v>4620</v>
      </c>
      <c r="H16" s="153">
        <f aca="true" t="shared" si="2" ref="H16:H32">D16*20%</f>
        <v>4004</v>
      </c>
      <c r="I16" s="153">
        <f aca="true" t="shared" si="3" ref="I16:I31">(D16+H16)*C16*8.91</f>
        <v>214053.84</v>
      </c>
      <c r="J16" s="375">
        <f t="shared" si="0"/>
        <v>24024</v>
      </c>
      <c r="K16" s="375"/>
    </row>
    <row r="17" spans="1:10" s="111" customFormat="1" ht="12.75">
      <c r="A17" s="348" t="s">
        <v>462</v>
      </c>
      <c r="B17" s="164" t="s">
        <v>233</v>
      </c>
      <c r="C17" s="165">
        <v>3</v>
      </c>
      <c r="D17" s="153">
        <f t="shared" si="1"/>
        <v>11696</v>
      </c>
      <c r="E17" s="162">
        <v>7310</v>
      </c>
      <c r="F17" s="153"/>
      <c r="G17" s="465">
        <f>E17*60%</f>
        <v>4386</v>
      </c>
      <c r="H17" s="153">
        <f t="shared" si="2"/>
        <v>2339.2000000000003</v>
      </c>
      <c r="I17" s="153">
        <f t="shared" si="3"/>
        <v>375160.89600000007</v>
      </c>
      <c r="J17" s="375">
        <f t="shared" si="0"/>
        <v>14035.2</v>
      </c>
    </row>
    <row r="18" spans="1:10" s="111" customFormat="1" ht="12.75">
      <c r="A18" s="348" t="s">
        <v>463</v>
      </c>
      <c r="B18" s="164" t="s">
        <v>234</v>
      </c>
      <c r="C18" s="165">
        <v>1</v>
      </c>
      <c r="D18" s="153">
        <f t="shared" si="1"/>
        <v>10965</v>
      </c>
      <c r="E18" s="162">
        <v>7310</v>
      </c>
      <c r="F18" s="153"/>
      <c r="G18" s="465">
        <f>E18*50%</f>
        <v>3655</v>
      </c>
      <c r="H18" s="153">
        <f t="shared" si="2"/>
        <v>2193</v>
      </c>
      <c r="I18" s="153">
        <f t="shared" si="3"/>
        <v>117237.78</v>
      </c>
      <c r="J18" s="375">
        <f t="shared" si="0"/>
        <v>13158</v>
      </c>
    </row>
    <row r="19" spans="1:10" s="111" customFormat="1" ht="12.75">
      <c r="A19" s="347" t="s">
        <v>464</v>
      </c>
      <c r="B19" s="164" t="s">
        <v>235</v>
      </c>
      <c r="C19" s="166">
        <v>6</v>
      </c>
      <c r="D19" s="153">
        <f t="shared" si="1"/>
        <v>8576.91</v>
      </c>
      <c r="E19" s="163">
        <v>5463</v>
      </c>
      <c r="F19" s="153"/>
      <c r="G19" s="465">
        <f>E19*57%</f>
        <v>3113.91</v>
      </c>
      <c r="H19" s="153">
        <f t="shared" si="2"/>
        <v>1715.382</v>
      </c>
      <c r="I19" s="153">
        <f t="shared" si="3"/>
        <v>550225.9303199999</v>
      </c>
      <c r="J19" s="375">
        <f t="shared" si="0"/>
        <v>10292.292</v>
      </c>
    </row>
    <row r="20" spans="1:10" s="111" customFormat="1" ht="12.75">
      <c r="A20" s="348" t="s">
        <v>465</v>
      </c>
      <c r="B20" s="164" t="s">
        <v>236</v>
      </c>
      <c r="C20" s="166">
        <v>0.5</v>
      </c>
      <c r="D20" s="153">
        <f t="shared" si="1"/>
        <v>7894.8</v>
      </c>
      <c r="E20" s="163">
        <v>7310</v>
      </c>
      <c r="F20" s="153"/>
      <c r="G20" s="465">
        <f>E20*8%</f>
        <v>584.8000000000001</v>
      </c>
      <c r="H20" s="153">
        <f t="shared" si="2"/>
        <v>1578.96</v>
      </c>
      <c r="I20" s="153">
        <f t="shared" si="3"/>
        <v>42205.6008</v>
      </c>
      <c r="J20" s="375">
        <f t="shared" si="0"/>
        <v>9473.76</v>
      </c>
    </row>
    <row r="21" spans="1:10" s="111" customFormat="1" ht="12.75">
      <c r="A21" s="348" t="s">
        <v>466</v>
      </c>
      <c r="B21" s="164" t="s">
        <v>237</v>
      </c>
      <c r="C21" s="166">
        <v>1</v>
      </c>
      <c r="D21" s="153">
        <f t="shared" si="1"/>
        <v>7894.8</v>
      </c>
      <c r="E21" s="163">
        <v>7310</v>
      </c>
      <c r="F21" s="153"/>
      <c r="G21" s="465">
        <f>E21*8%</f>
        <v>584.8000000000001</v>
      </c>
      <c r="H21" s="153">
        <f t="shared" si="2"/>
        <v>1578.96</v>
      </c>
      <c r="I21" s="153">
        <f t="shared" si="3"/>
        <v>84411.2016</v>
      </c>
      <c r="J21" s="375">
        <f t="shared" si="0"/>
        <v>9473.76</v>
      </c>
    </row>
    <row r="22" spans="1:10" s="111" customFormat="1" ht="12.75">
      <c r="A22" s="347" t="s">
        <v>467</v>
      </c>
      <c r="B22" s="164" t="s">
        <v>238</v>
      </c>
      <c r="C22" s="166">
        <v>1</v>
      </c>
      <c r="D22" s="153">
        <f t="shared" si="1"/>
        <v>8467.65</v>
      </c>
      <c r="E22" s="163">
        <v>5463</v>
      </c>
      <c r="F22" s="153"/>
      <c r="G22" s="465">
        <f>E22*55%</f>
        <v>3004.65</v>
      </c>
      <c r="H22" s="153">
        <f t="shared" si="2"/>
        <v>1693.53</v>
      </c>
      <c r="I22" s="153">
        <f t="shared" si="3"/>
        <v>90536.1138</v>
      </c>
      <c r="J22" s="375">
        <f t="shared" si="0"/>
        <v>10161.18</v>
      </c>
    </row>
    <row r="23" spans="1:10" s="111" customFormat="1" ht="12.75">
      <c r="A23" s="348" t="s">
        <v>468</v>
      </c>
      <c r="B23" s="164" t="s">
        <v>239</v>
      </c>
      <c r="C23" s="166">
        <v>1</v>
      </c>
      <c r="D23" s="153">
        <f t="shared" si="1"/>
        <v>7870.5</v>
      </c>
      <c r="E23" s="163">
        <v>4770</v>
      </c>
      <c r="F23" s="153"/>
      <c r="G23" s="465">
        <f>E23*65%</f>
        <v>3100.5</v>
      </c>
      <c r="H23" s="153">
        <f t="shared" si="2"/>
        <v>1574.1000000000001</v>
      </c>
      <c r="I23" s="153">
        <f t="shared" si="3"/>
        <v>84151.386</v>
      </c>
      <c r="J23" s="375">
        <f t="shared" si="0"/>
        <v>9444.6</v>
      </c>
    </row>
    <row r="24" spans="1:10" s="111" customFormat="1" ht="12.75">
      <c r="A24" s="348" t="s">
        <v>469</v>
      </c>
      <c r="B24" s="164" t="s">
        <v>240</v>
      </c>
      <c r="C24" s="166">
        <v>11.5</v>
      </c>
      <c r="D24" s="153">
        <f t="shared" si="1"/>
        <v>8845.542753762</v>
      </c>
      <c r="E24" s="163">
        <v>5620</v>
      </c>
      <c r="F24" s="153">
        <v>559.32</v>
      </c>
      <c r="G24" s="465">
        <f>E24*47.44168601%</f>
        <v>2666.222753762</v>
      </c>
      <c r="H24" s="153">
        <f t="shared" si="2"/>
        <v>1769.1085507524</v>
      </c>
      <c r="I24" s="153">
        <f t="shared" si="3"/>
        <v>1087630.245917068</v>
      </c>
      <c r="J24" s="375">
        <f t="shared" si="0"/>
        <v>10614.6513045144</v>
      </c>
    </row>
    <row r="25" spans="1:10" s="111" customFormat="1" ht="12.75" hidden="1">
      <c r="A25" s="346" t="s">
        <v>470</v>
      </c>
      <c r="B25" s="164" t="s">
        <v>241</v>
      </c>
      <c r="C25" s="166">
        <v>0</v>
      </c>
      <c r="D25" s="153">
        <f t="shared" si="1"/>
        <v>9412.65</v>
      </c>
      <c r="E25" s="163">
        <v>6114</v>
      </c>
      <c r="F25" s="153">
        <v>363.93</v>
      </c>
      <c r="G25" s="465">
        <f>E25*48%</f>
        <v>2934.72</v>
      </c>
      <c r="H25" s="153">
        <f t="shared" si="2"/>
        <v>1882.53</v>
      </c>
      <c r="I25" s="153">
        <f t="shared" si="3"/>
        <v>0</v>
      </c>
      <c r="J25" s="375">
        <f t="shared" si="0"/>
        <v>11295.18</v>
      </c>
    </row>
    <row r="26" spans="1:18" s="111" customFormat="1" ht="12.75">
      <c r="A26" s="348" t="s">
        <v>470</v>
      </c>
      <c r="B26" s="164" t="s">
        <v>242</v>
      </c>
      <c r="C26" s="166">
        <v>0.5</v>
      </c>
      <c r="D26" s="153">
        <f t="shared" si="1"/>
        <v>7882.4</v>
      </c>
      <c r="E26" s="163">
        <v>4720</v>
      </c>
      <c r="F26" s="153"/>
      <c r="G26" s="465">
        <f>E26*67%</f>
        <v>3162.4</v>
      </c>
      <c r="H26" s="153">
        <f t="shared" si="2"/>
        <v>1576.48</v>
      </c>
      <c r="I26" s="153">
        <f t="shared" si="3"/>
        <v>42139.310399999995</v>
      </c>
      <c r="J26" s="375">
        <f t="shared" si="0"/>
        <v>9458.88</v>
      </c>
      <c r="L26" s="111">
        <f>L14*C26</f>
        <v>3750</v>
      </c>
      <c r="M26" s="111">
        <f>M14*C26</f>
        <v>3825</v>
      </c>
      <c r="N26" s="111">
        <f aca="true" t="shared" si="4" ref="N26:N31">M26-L26</f>
        <v>75</v>
      </c>
      <c r="O26" s="111">
        <f aca="true" t="shared" si="5" ref="O26:O31">N26*12</f>
        <v>900</v>
      </c>
      <c r="P26" s="111">
        <f>P14*C26</f>
        <v>3900</v>
      </c>
      <c r="Q26" s="111">
        <f aca="true" t="shared" si="6" ref="Q26:Q31">P26-M26</f>
        <v>75</v>
      </c>
      <c r="R26" s="111">
        <f aca="true" t="shared" si="7" ref="R26:R31">Q26*6</f>
        <v>450</v>
      </c>
    </row>
    <row r="27" spans="1:18" s="111" customFormat="1" ht="12.75">
      <c r="A27" s="348" t="s">
        <v>471</v>
      </c>
      <c r="B27" s="164" t="s">
        <v>243</v>
      </c>
      <c r="C27" s="166">
        <v>4</v>
      </c>
      <c r="D27" s="153">
        <f t="shared" si="1"/>
        <v>8071.200000000001</v>
      </c>
      <c r="E27" s="163">
        <v>4720</v>
      </c>
      <c r="F27" s="153">
        <v>188.8</v>
      </c>
      <c r="G27" s="465">
        <f>E27*67%</f>
        <v>3162.4</v>
      </c>
      <c r="H27" s="153">
        <f t="shared" si="2"/>
        <v>1614.2400000000002</v>
      </c>
      <c r="I27" s="153">
        <f t="shared" si="3"/>
        <v>345189.08160000003</v>
      </c>
      <c r="J27" s="375">
        <f t="shared" si="0"/>
        <v>9685.44</v>
      </c>
      <c r="L27" s="111">
        <f>L14*C27</f>
        <v>30000</v>
      </c>
      <c r="M27" s="111">
        <f>M14*C27</f>
        <v>30600</v>
      </c>
      <c r="N27" s="111">
        <f t="shared" si="4"/>
        <v>600</v>
      </c>
      <c r="O27" s="111">
        <f t="shared" si="5"/>
        <v>7200</v>
      </c>
      <c r="P27" s="111">
        <f>P14*C27</f>
        <v>31200</v>
      </c>
      <c r="Q27" s="111">
        <f t="shared" si="6"/>
        <v>600</v>
      </c>
      <c r="R27" s="111">
        <f t="shared" si="7"/>
        <v>3600</v>
      </c>
    </row>
    <row r="28" spans="1:18" s="111" customFormat="1" ht="12.75">
      <c r="A28" s="347" t="s">
        <v>472</v>
      </c>
      <c r="B28" s="164" t="s">
        <v>244</v>
      </c>
      <c r="C28" s="166">
        <v>1</v>
      </c>
      <c r="D28" s="153">
        <f t="shared" si="1"/>
        <v>7882.4</v>
      </c>
      <c r="E28" s="163">
        <v>4720</v>
      </c>
      <c r="F28" s="153"/>
      <c r="G28" s="465">
        <f>E28*67%</f>
        <v>3162.4</v>
      </c>
      <c r="H28" s="153">
        <f t="shared" si="2"/>
        <v>1576.48</v>
      </c>
      <c r="I28" s="153">
        <f t="shared" si="3"/>
        <v>84278.62079999999</v>
      </c>
      <c r="J28" s="375">
        <f t="shared" si="0"/>
        <v>9458.88</v>
      </c>
      <c r="L28" s="111">
        <f>L14*C28</f>
        <v>7500</v>
      </c>
      <c r="M28" s="111">
        <f>M14*C28</f>
        <v>7650</v>
      </c>
      <c r="N28" s="111">
        <f t="shared" si="4"/>
        <v>150</v>
      </c>
      <c r="O28" s="111">
        <f t="shared" si="5"/>
        <v>1800</v>
      </c>
      <c r="P28" s="111">
        <f>P14*C28</f>
        <v>7800</v>
      </c>
      <c r="Q28" s="111">
        <f t="shared" si="6"/>
        <v>150</v>
      </c>
      <c r="R28" s="111">
        <f t="shared" si="7"/>
        <v>900</v>
      </c>
    </row>
    <row r="29" spans="1:18" s="111" customFormat="1" ht="12.75">
      <c r="A29" s="348" t="s">
        <v>473</v>
      </c>
      <c r="B29" s="164" t="s">
        <v>245</v>
      </c>
      <c r="C29" s="166">
        <v>4</v>
      </c>
      <c r="D29" s="153">
        <f t="shared" si="1"/>
        <v>7882.4</v>
      </c>
      <c r="E29" s="163">
        <v>4720</v>
      </c>
      <c r="F29" s="153"/>
      <c r="G29" s="465">
        <f>E29*67%</f>
        <v>3162.4</v>
      </c>
      <c r="H29" s="153">
        <f t="shared" si="2"/>
        <v>1576.48</v>
      </c>
      <c r="I29" s="153">
        <f t="shared" si="3"/>
        <v>337114.48319999996</v>
      </c>
      <c r="J29" s="375">
        <f t="shared" si="0"/>
        <v>9458.88</v>
      </c>
      <c r="L29" s="111">
        <f>L14*C29</f>
        <v>30000</v>
      </c>
      <c r="M29" s="111">
        <f>M14*C29</f>
        <v>30600</v>
      </c>
      <c r="N29" s="111">
        <f t="shared" si="4"/>
        <v>600</v>
      </c>
      <c r="O29" s="111">
        <f t="shared" si="5"/>
        <v>7200</v>
      </c>
      <c r="P29" s="111">
        <f>P14*C29</f>
        <v>31200</v>
      </c>
      <c r="Q29" s="111">
        <f t="shared" si="6"/>
        <v>600</v>
      </c>
      <c r="R29" s="111">
        <f t="shared" si="7"/>
        <v>3600</v>
      </c>
    </row>
    <row r="30" spans="1:18" s="111" customFormat="1" ht="12.75">
      <c r="A30" s="347" t="s">
        <v>725</v>
      </c>
      <c r="B30" s="164" t="s">
        <v>246</v>
      </c>
      <c r="C30" s="166">
        <v>11.6</v>
      </c>
      <c r="D30" s="153">
        <f t="shared" si="1"/>
        <v>7904.78</v>
      </c>
      <c r="E30" s="163">
        <v>4720</v>
      </c>
      <c r="F30" s="153">
        <v>1107.98</v>
      </c>
      <c r="G30" s="465">
        <f>E30*44%</f>
        <v>2076.8</v>
      </c>
      <c r="H30" s="153">
        <f t="shared" si="2"/>
        <v>1580.9560000000001</v>
      </c>
      <c r="I30" s="153">
        <f t="shared" si="3"/>
        <v>980407.7300160001</v>
      </c>
      <c r="J30" s="375">
        <f t="shared" si="0"/>
        <v>9485.736</v>
      </c>
      <c r="L30" s="111">
        <f>L14*C30</f>
        <v>87000</v>
      </c>
      <c r="M30" s="111">
        <f>M14*C30</f>
        <v>88740</v>
      </c>
      <c r="N30" s="111">
        <f t="shared" si="4"/>
        <v>1740</v>
      </c>
      <c r="O30" s="111">
        <f t="shared" si="5"/>
        <v>20880</v>
      </c>
      <c r="P30" s="111">
        <f>P14*C30</f>
        <v>90480</v>
      </c>
      <c r="Q30" s="111">
        <f t="shared" si="6"/>
        <v>1740</v>
      </c>
      <c r="R30" s="111">
        <f t="shared" si="7"/>
        <v>10440</v>
      </c>
    </row>
    <row r="31" spans="1:18" s="111" customFormat="1" ht="12.75">
      <c r="A31" s="348" t="s">
        <v>726</v>
      </c>
      <c r="B31" s="164" t="s">
        <v>247</v>
      </c>
      <c r="C31" s="166">
        <v>4.02</v>
      </c>
      <c r="D31" s="153">
        <f t="shared" si="1"/>
        <v>7882.4</v>
      </c>
      <c r="E31" s="163">
        <v>4720</v>
      </c>
      <c r="F31" s="153"/>
      <c r="G31" s="465">
        <f>E31*67%</f>
        <v>3162.4</v>
      </c>
      <c r="H31" s="153">
        <f t="shared" si="2"/>
        <v>1576.48</v>
      </c>
      <c r="I31" s="153">
        <f t="shared" si="3"/>
        <v>338800.0556159999</v>
      </c>
      <c r="J31" s="375">
        <f>D31+H31</f>
        <v>9458.88</v>
      </c>
      <c r="L31" s="111">
        <f>L14*C31</f>
        <v>30149.999999999996</v>
      </c>
      <c r="M31" s="111">
        <f>M14*C31</f>
        <v>30752.999999999996</v>
      </c>
      <c r="N31" s="111">
        <f t="shared" si="4"/>
        <v>603</v>
      </c>
      <c r="O31" s="111">
        <f t="shared" si="5"/>
        <v>7236</v>
      </c>
      <c r="P31" s="111">
        <f>P14*C31</f>
        <v>31355.999999999996</v>
      </c>
      <c r="Q31" s="111">
        <f t="shared" si="6"/>
        <v>603</v>
      </c>
      <c r="R31" s="111">
        <f t="shared" si="7"/>
        <v>3618</v>
      </c>
    </row>
    <row r="32" spans="1:10" s="111" customFormat="1" ht="12.75">
      <c r="A32" s="347" t="s">
        <v>725</v>
      </c>
      <c r="B32" s="164" t="s">
        <v>248</v>
      </c>
      <c r="C32" s="166">
        <v>4</v>
      </c>
      <c r="D32" s="182">
        <f t="shared" si="1"/>
        <v>7882.4</v>
      </c>
      <c r="E32" s="163">
        <v>4720</v>
      </c>
      <c r="F32" s="153"/>
      <c r="G32" s="465">
        <f>E32*67%</f>
        <v>3162.4</v>
      </c>
      <c r="H32" s="182">
        <f t="shared" si="2"/>
        <v>1576.48</v>
      </c>
      <c r="I32" s="153">
        <f>(D32+H32)*C32*2</f>
        <v>75671.04</v>
      </c>
      <c r="J32" s="375">
        <f>D32+H32</f>
        <v>9458.88</v>
      </c>
    </row>
    <row r="33" spans="1:18" s="121" customFormat="1" ht="19.5" customHeight="1">
      <c r="A33" s="617" t="s">
        <v>672</v>
      </c>
      <c r="B33" s="618"/>
      <c r="C33" s="175">
        <f>SUM(C15:C32)</f>
        <v>56.120000000000005</v>
      </c>
      <c r="D33" s="173" t="s">
        <v>132</v>
      </c>
      <c r="E33" s="173" t="s">
        <v>132</v>
      </c>
      <c r="F33" s="173" t="s">
        <v>132</v>
      </c>
      <c r="G33" s="173" t="s">
        <v>132</v>
      </c>
      <c r="H33" s="173" t="s">
        <v>132</v>
      </c>
      <c r="I33" s="160">
        <f>SUM(I15:I32)</f>
        <v>5071499.996069068</v>
      </c>
      <c r="J33" s="121">
        <f>6931500-1860000</f>
        <v>5071500</v>
      </c>
      <c r="K33" s="350">
        <f>J33-I33</f>
        <v>0.003930931910872459</v>
      </c>
      <c r="N33" s="121">
        <f>SUM(N26:N32)</f>
        <v>3768</v>
      </c>
      <c r="O33" s="121">
        <f>SUM(O26:O32)</f>
        <v>45216</v>
      </c>
      <c r="P33" s="121">
        <f>SUM(P26:P32)</f>
        <v>195936</v>
      </c>
      <c r="Q33" s="121">
        <f>SUM(Q26:Q32)</f>
        <v>3768</v>
      </c>
      <c r="R33" s="121">
        <f>SUM(R26:R32)</f>
        <v>22608</v>
      </c>
    </row>
    <row r="34" spans="1:10" s="111" customFormat="1" ht="12.75">
      <c r="A34" s="348" t="s">
        <v>460</v>
      </c>
      <c r="B34" s="164" t="s">
        <v>61</v>
      </c>
      <c r="C34" s="125">
        <v>1</v>
      </c>
      <c r="D34" s="153">
        <f>E34+F34+G34</f>
        <v>20790</v>
      </c>
      <c r="E34" s="162">
        <v>15400</v>
      </c>
      <c r="F34" s="153"/>
      <c r="G34" s="465">
        <f>E34*35%</f>
        <v>5390</v>
      </c>
      <c r="H34" s="153">
        <f>D34*20%</f>
        <v>4158</v>
      </c>
      <c r="I34" s="153">
        <f>(D34+H34)*C34*3.09</f>
        <v>77089.31999999999</v>
      </c>
      <c r="J34" s="375">
        <f aca="true" t="shared" si="8" ref="J34:J50">D34+H34</f>
        <v>24948</v>
      </c>
    </row>
    <row r="35" spans="1:10" s="111" customFormat="1" ht="12.75">
      <c r="A35" s="347" t="s">
        <v>461</v>
      </c>
      <c r="B35" s="164" t="s">
        <v>232</v>
      </c>
      <c r="C35" s="125">
        <v>1</v>
      </c>
      <c r="D35" s="153">
        <f aca="true" t="shared" si="9" ref="D35:D51">E35+F35+G35</f>
        <v>20020</v>
      </c>
      <c r="E35" s="162">
        <v>15400</v>
      </c>
      <c r="F35" s="153"/>
      <c r="G35" s="465">
        <f>E35*30%</f>
        <v>4620</v>
      </c>
      <c r="H35" s="153">
        <f aca="true" t="shared" si="10" ref="H35:H51">D35*20%</f>
        <v>4004</v>
      </c>
      <c r="I35" s="153">
        <f aca="true" t="shared" si="11" ref="I35:I50">(D35+H35)*C35*3.09</f>
        <v>74234.16</v>
      </c>
      <c r="J35" s="375">
        <f t="shared" si="8"/>
        <v>24024</v>
      </c>
    </row>
    <row r="36" spans="1:10" s="111" customFormat="1" ht="12.75">
      <c r="A36" s="348" t="s">
        <v>462</v>
      </c>
      <c r="B36" s="164" t="s">
        <v>233</v>
      </c>
      <c r="C36" s="165">
        <v>3</v>
      </c>
      <c r="D36" s="153">
        <f t="shared" si="9"/>
        <v>11696</v>
      </c>
      <c r="E36" s="162">
        <v>7310</v>
      </c>
      <c r="F36" s="153"/>
      <c r="G36" s="465">
        <f>E36*60%</f>
        <v>4386</v>
      </c>
      <c r="H36" s="153">
        <f t="shared" si="10"/>
        <v>2339.2000000000003</v>
      </c>
      <c r="I36" s="153">
        <f t="shared" si="11"/>
        <v>130106.30400000002</v>
      </c>
      <c r="J36" s="375">
        <f t="shared" si="8"/>
        <v>14035.2</v>
      </c>
    </row>
    <row r="37" spans="1:10" s="111" customFormat="1" ht="12.75">
      <c r="A37" s="348" t="s">
        <v>463</v>
      </c>
      <c r="B37" s="164" t="s">
        <v>234</v>
      </c>
      <c r="C37" s="165">
        <v>1</v>
      </c>
      <c r="D37" s="153">
        <f t="shared" si="9"/>
        <v>10965</v>
      </c>
      <c r="E37" s="162">
        <v>7310</v>
      </c>
      <c r="F37" s="153"/>
      <c r="G37" s="465">
        <f>E37*50%</f>
        <v>3655</v>
      </c>
      <c r="H37" s="153">
        <f t="shared" si="10"/>
        <v>2193</v>
      </c>
      <c r="I37" s="153">
        <f t="shared" si="11"/>
        <v>40658.22</v>
      </c>
      <c r="J37" s="375">
        <f t="shared" si="8"/>
        <v>13158</v>
      </c>
    </row>
    <row r="38" spans="1:10" s="111" customFormat="1" ht="12.75">
      <c r="A38" s="347" t="s">
        <v>464</v>
      </c>
      <c r="B38" s="164" t="s">
        <v>235</v>
      </c>
      <c r="C38" s="166">
        <v>6</v>
      </c>
      <c r="D38" s="153">
        <f t="shared" si="9"/>
        <v>8576.91</v>
      </c>
      <c r="E38" s="163">
        <v>5463</v>
      </c>
      <c r="F38" s="153"/>
      <c r="G38" s="465">
        <f>E38*57%</f>
        <v>3113.91</v>
      </c>
      <c r="H38" s="153">
        <f t="shared" si="10"/>
        <v>1715.382</v>
      </c>
      <c r="I38" s="153">
        <f t="shared" si="11"/>
        <v>190819.09367999996</v>
      </c>
      <c r="J38" s="375">
        <f t="shared" si="8"/>
        <v>10292.292</v>
      </c>
    </row>
    <row r="39" spans="1:10" s="111" customFormat="1" ht="12.75">
      <c r="A39" s="348" t="s">
        <v>465</v>
      </c>
      <c r="B39" s="164" t="s">
        <v>236</v>
      </c>
      <c r="C39" s="166">
        <v>0.5</v>
      </c>
      <c r="D39" s="153">
        <f t="shared" si="9"/>
        <v>7894.8</v>
      </c>
      <c r="E39" s="163">
        <v>7310</v>
      </c>
      <c r="F39" s="153"/>
      <c r="G39" s="465">
        <f>E39*8%</f>
        <v>584.8000000000001</v>
      </c>
      <c r="H39" s="153">
        <f t="shared" si="10"/>
        <v>1578.96</v>
      </c>
      <c r="I39" s="153">
        <f t="shared" si="11"/>
        <v>14636.9592</v>
      </c>
      <c r="J39" s="375">
        <f t="shared" si="8"/>
        <v>9473.76</v>
      </c>
    </row>
    <row r="40" spans="1:10" s="111" customFormat="1" ht="12.75">
      <c r="A40" s="348" t="s">
        <v>466</v>
      </c>
      <c r="B40" s="164" t="s">
        <v>237</v>
      </c>
      <c r="C40" s="166">
        <v>1</v>
      </c>
      <c r="D40" s="153">
        <f t="shared" si="9"/>
        <v>7894.8</v>
      </c>
      <c r="E40" s="163">
        <v>7310</v>
      </c>
      <c r="F40" s="153"/>
      <c r="G40" s="465">
        <f>E40*8%</f>
        <v>584.8000000000001</v>
      </c>
      <c r="H40" s="153">
        <f t="shared" si="10"/>
        <v>1578.96</v>
      </c>
      <c r="I40" s="153">
        <f t="shared" si="11"/>
        <v>29273.9184</v>
      </c>
      <c r="J40" s="375">
        <f t="shared" si="8"/>
        <v>9473.76</v>
      </c>
    </row>
    <row r="41" spans="1:10" s="111" customFormat="1" ht="12.75">
      <c r="A41" s="347" t="s">
        <v>467</v>
      </c>
      <c r="B41" s="164" t="s">
        <v>238</v>
      </c>
      <c r="C41" s="166">
        <v>1</v>
      </c>
      <c r="D41" s="153">
        <f t="shared" si="9"/>
        <v>8467.65</v>
      </c>
      <c r="E41" s="163">
        <v>5463</v>
      </c>
      <c r="F41" s="153"/>
      <c r="G41" s="465">
        <f>E41*55%</f>
        <v>3004.65</v>
      </c>
      <c r="H41" s="153">
        <f t="shared" si="10"/>
        <v>1693.53</v>
      </c>
      <c r="I41" s="153">
        <f t="shared" si="11"/>
        <v>31398.0462</v>
      </c>
      <c r="J41" s="375">
        <f t="shared" si="8"/>
        <v>10161.18</v>
      </c>
    </row>
    <row r="42" spans="1:10" s="111" customFormat="1" ht="12.75">
      <c r="A42" s="348" t="s">
        <v>468</v>
      </c>
      <c r="B42" s="164" t="s">
        <v>239</v>
      </c>
      <c r="C42" s="166">
        <v>1</v>
      </c>
      <c r="D42" s="153">
        <f t="shared" si="9"/>
        <v>7870.5</v>
      </c>
      <c r="E42" s="163">
        <v>4770</v>
      </c>
      <c r="F42" s="153"/>
      <c r="G42" s="465">
        <f>E42*65%</f>
        <v>3100.5</v>
      </c>
      <c r="H42" s="153">
        <f t="shared" si="10"/>
        <v>1574.1000000000001</v>
      </c>
      <c r="I42" s="153">
        <f t="shared" si="11"/>
        <v>29183.814</v>
      </c>
      <c r="J42" s="375">
        <f t="shared" si="8"/>
        <v>9444.6</v>
      </c>
    </row>
    <row r="43" spans="1:10" s="111" customFormat="1" ht="12.75">
      <c r="A43" s="348" t="s">
        <v>469</v>
      </c>
      <c r="B43" s="164" t="s">
        <v>240</v>
      </c>
      <c r="C43" s="166">
        <v>11.5</v>
      </c>
      <c r="D43" s="153">
        <f t="shared" si="9"/>
        <v>10946.857544179999</v>
      </c>
      <c r="E43" s="163">
        <v>5620</v>
      </c>
      <c r="F43" s="153">
        <v>559.32</v>
      </c>
      <c r="G43" s="465">
        <f>E43*84.8316289%</f>
        <v>4767.53754418</v>
      </c>
      <c r="H43" s="153">
        <f t="shared" si="10"/>
        <v>2189.371508836</v>
      </c>
      <c r="I43" s="153">
        <f t="shared" si="11"/>
        <v>466795.89939892344</v>
      </c>
      <c r="J43" s="375">
        <f t="shared" si="8"/>
        <v>13136.229053015999</v>
      </c>
    </row>
    <row r="44" spans="1:10" s="111" customFormat="1" ht="12.75" hidden="1">
      <c r="A44" s="346" t="s">
        <v>470</v>
      </c>
      <c r="B44" s="164" t="s">
        <v>241</v>
      </c>
      <c r="C44" s="166">
        <v>0</v>
      </c>
      <c r="D44" s="153">
        <f t="shared" si="9"/>
        <v>9412.65</v>
      </c>
      <c r="E44" s="163">
        <v>6114</v>
      </c>
      <c r="F44" s="153">
        <v>363.93</v>
      </c>
      <c r="G44" s="465">
        <f>E44*48%</f>
        <v>2934.72</v>
      </c>
      <c r="H44" s="153">
        <f t="shared" si="10"/>
        <v>1882.53</v>
      </c>
      <c r="I44" s="153">
        <f t="shared" si="11"/>
        <v>0</v>
      </c>
      <c r="J44" s="375">
        <f t="shared" si="8"/>
        <v>11295.18</v>
      </c>
    </row>
    <row r="45" spans="1:10" s="111" customFormat="1" ht="12.75">
      <c r="A45" s="348" t="s">
        <v>470</v>
      </c>
      <c r="B45" s="164" t="s">
        <v>242</v>
      </c>
      <c r="C45" s="166">
        <v>0.5</v>
      </c>
      <c r="D45" s="153">
        <f t="shared" si="9"/>
        <v>7882.4</v>
      </c>
      <c r="E45" s="163">
        <v>4720</v>
      </c>
      <c r="F45" s="153"/>
      <c r="G45" s="465">
        <f>E45*67%</f>
        <v>3162.4</v>
      </c>
      <c r="H45" s="153">
        <f t="shared" si="10"/>
        <v>1576.48</v>
      </c>
      <c r="I45" s="153">
        <f t="shared" si="11"/>
        <v>14613.969599999999</v>
      </c>
      <c r="J45" s="375">
        <f t="shared" si="8"/>
        <v>9458.88</v>
      </c>
    </row>
    <row r="46" spans="1:10" s="111" customFormat="1" ht="12.75">
      <c r="A46" s="348" t="s">
        <v>471</v>
      </c>
      <c r="B46" s="164" t="s">
        <v>243</v>
      </c>
      <c r="C46" s="166">
        <v>4</v>
      </c>
      <c r="D46" s="153">
        <f t="shared" si="9"/>
        <v>8071.200000000001</v>
      </c>
      <c r="E46" s="163">
        <v>4720</v>
      </c>
      <c r="F46" s="153">
        <v>188.8</v>
      </c>
      <c r="G46" s="465">
        <f>E46*67%</f>
        <v>3162.4</v>
      </c>
      <c r="H46" s="153">
        <f t="shared" si="10"/>
        <v>1614.2400000000002</v>
      </c>
      <c r="I46" s="153">
        <f t="shared" si="11"/>
        <v>119712.0384</v>
      </c>
      <c r="J46" s="375">
        <f t="shared" si="8"/>
        <v>9685.44</v>
      </c>
    </row>
    <row r="47" spans="1:10" s="111" customFormat="1" ht="12.75">
      <c r="A47" s="347" t="s">
        <v>472</v>
      </c>
      <c r="B47" s="164" t="s">
        <v>244</v>
      </c>
      <c r="C47" s="166">
        <v>1</v>
      </c>
      <c r="D47" s="153">
        <f t="shared" si="9"/>
        <v>7882.4</v>
      </c>
      <c r="E47" s="163">
        <v>4720</v>
      </c>
      <c r="F47" s="153"/>
      <c r="G47" s="465">
        <f>E47*67%</f>
        <v>3162.4</v>
      </c>
      <c r="H47" s="153">
        <f t="shared" si="10"/>
        <v>1576.48</v>
      </c>
      <c r="I47" s="153">
        <f t="shared" si="11"/>
        <v>29227.939199999997</v>
      </c>
      <c r="J47" s="375">
        <f t="shared" si="8"/>
        <v>9458.88</v>
      </c>
    </row>
    <row r="48" spans="1:10" s="111" customFormat="1" ht="12.75">
      <c r="A48" s="348" t="s">
        <v>473</v>
      </c>
      <c r="B48" s="164" t="s">
        <v>245</v>
      </c>
      <c r="C48" s="166">
        <v>4</v>
      </c>
      <c r="D48" s="153">
        <f t="shared" si="9"/>
        <v>7882.4</v>
      </c>
      <c r="E48" s="163">
        <v>4720</v>
      </c>
      <c r="F48" s="153"/>
      <c r="G48" s="465">
        <f>E48*67%</f>
        <v>3162.4</v>
      </c>
      <c r="H48" s="153">
        <f t="shared" si="10"/>
        <v>1576.48</v>
      </c>
      <c r="I48" s="153">
        <f t="shared" si="11"/>
        <v>116911.75679999999</v>
      </c>
      <c r="J48" s="375">
        <f t="shared" si="8"/>
        <v>9458.88</v>
      </c>
    </row>
    <row r="49" spans="1:10" s="111" customFormat="1" ht="12.75">
      <c r="A49" s="347" t="s">
        <v>474</v>
      </c>
      <c r="B49" s="164" t="s">
        <v>246</v>
      </c>
      <c r="C49" s="166">
        <v>11.6</v>
      </c>
      <c r="D49" s="153">
        <f t="shared" si="9"/>
        <v>7904.78</v>
      </c>
      <c r="E49" s="163">
        <v>4720</v>
      </c>
      <c r="F49" s="153">
        <v>1107.98</v>
      </c>
      <c r="G49" s="465">
        <f>E49*44%</f>
        <v>2076.8</v>
      </c>
      <c r="H49" s="153">
        <f t="shared" si="10"/>
        <v>1580.9560000000001</v>
      </c>
      <c r="I49" s="153">
        <f t="shared" si="11"/>
        <v>340006.721184</v>
      </c>
      <c r="J49" s="375">
        <f t="shared" si="8"/>
        <v>9485.736</v>
      </c>
    </row>
    <row r="50" spans="1:10" s="111" customFormat="1" ht="12.75">
      <c r="A50" s="348" t="s">
        <v>726</v>
      </c>
      <c r="B50" s="164" t="s">
        <v>247</v>
      </c>
      <c r="C50" s="166">
        <v>4.02</v>
      </c>
      <c r="D50" s="153">
        <f t="shared" si="9"/>
        <v>7882.4</v>
      </c>
      <c r="E50" s="163">
        <v>4720</v>
      </c>
      <c r="F50" s="153"/>
      <c r="G50" s="465">
        <f>E50*67%</f>
        <v>3162.4</v>
      </c>
      <c r="H50" s="153">
        <f t="shared" si="10"/>
        <v>1576.48</v>
      </c>
      <c r="I50" s="153">
        <f t="shared" si="11"/>
        <v>117496.31558399997</v>
      </c>
      <c r="J50" s="375">
        <f t="shared" si="8"/>
        <v>9458.88</v>
      </c>
    </row>
    <row r="51" spans="1:10" s="111" customFormat="1" ht="12.75">
      <c r="A51" s="347" t="s">
        <v>725</v>
      </c>
      <c r="B51" s="164" t="s">
        <v>248</v>
      </c>
      <c r="C51" s="166">
        <v>4</v>
      </c>
      <c r="D51" s="182">
        <f t="shared" si="9"/>
        <v>7882.4</v>
      </c>
      <c r="E51" s="163">
        <v>4720</v>
      </c>
      <c r="F51" s="153"/>
      <c r="G51" s="465">
        <f>E51*67%</f>
        <v>3162.4</v>
      </c>
      <c r="H51" s="182">
        <f t="shared" si="10"/>
        <v>1576.48</v>
      </c>
      <c r="I51" s="153">
        <f>(D51+H51)*C51*1</f>
        <v>37835.52</v>
      </c>
      <c r="J51" s="375">
        <f>D51+H51</f>
        <v>9458.88</v>
      </c>
    </row>
    <row r="52" spans="1:11" s="121" customFormat="1" ht="27" customHeight="1">
      <c r="A52" s="617" t="s">
        <v>700</v>
      </c>
      <c r="B52" s="618"/>
      <c r="C52" s="175">
        <f>SUM(C34:C51)</f>
        <v>56.120000000000005</v>
      </c>
      <c r="D52" s="173" t="s">
        <v>132</v>
      </c>
      <c r="E52" s="173" t="s">
        <v>132</v>
      </c>
      <c r="F52" s="173" t="s">
        <v>132</v>
      </c>
      <c r="G52" s="173" t="s">
        <v>132</v>
      </c>
      <c r="H52" s="173" t="s">
        <v>132</v>
      </c>
      <c r="I52" s="160">
        <f>SUM(I34:I51)</f>
        <v>1859999.995646923</v>
      </c>
      <c r="J52" s="121">
        <v>1860000</v>
      </c>
      <c r="K52" s="350">
        <f>J52-I52</f>
        <v>0.004353076918050647</v>
      </c>
    </row>
    <row r="53" spans="1:10" s="111" customFormat="1" ht="12.75">
      <c r="A53" s="348" t="s">
        <v>460</v>
      </c>
      <c r="B53" s="343" t="s">
        <v>249</v>
      </c>
      <c r="C53" s="344">
        <v>1</v>
      </c>
      <c r="D53" s="207">
        <f aca="true" t="shared" si="12" ref="D53:D62">E53+F53+G53</f>
        <v>35200</v>
      </c>
      <c r="E53" s="345">
        <v>22000</v>
      </c>
      <c r="F53" s="204"/>
      <c r="G53" s="207">
        <f>E53*60%</f>
        <v>13200</v>
      </c>
      <c r="H53" s="207">
        <f aca="true" t="shared" si="13" ref="H53:H62">D53*20%</f>
        <v>7040</v>
      </c>
      <c r="I53" s="207">
        <f aca="true" t="shared" si="14" ref="I53:I61">(D53+H53)*C53*12</f>
        <v>506880</v>
      </c>
      <c r="J53" s="375">
        <f t="shared" si="0"/>
        <v>42240</v>
      </c>
    </row>
    <row r="54" spans="1:15" s="111" customFormat="1" ht="24">
      <c r="A54" s="347" t="s">
        <v>461</v>
      </c>
      <c r="B54" s="164" t="s">
        <v>250</v>
      </c>
      <c r="C54" s="167">
        <v>1</v>
      </c>
      <c r="D54" s="153">
        <f t="shared" si="12"/>
        <v>18480</v>
      </c>
      <c r="E54" s="163">
        <v>15400</v>
      </c>
      <c r="F54" s="161"/>
      <c r="G54" s="153">
        <f>E54*20%</f>
        <v>3080</v>
      </c>
      <c r="H54" s="153">
        <f t="shared" si="13"/>
        <v>3696</v>
      </c>
      <c r="I54" s="153">
        <f t="shared" si="14"/>
        <v>266112</v>
      </c>
      <c r="J54" s="375">
        <f t="shared" si="0"/>
        <v>22176</v>
      </c>
      <c r="O54" s="111">
        <f>O33+R33</f>
        <v>67824</v>
      </c>
    </row>
    <row r="55" spans="1:10" s="111" customFormat="1" ht="24">
      <c r="A55" s="347" t="s">
        <v>462</v>
      </c>
      <c r="B55" s="164" t="s">
        <v>644</v>
      </c>
      <c r="C55" s="167">
        <v>1</v>
      </c>
      <c r="D55" s="153">
        <f>E55+F55+G55</f>
        <v>18480</v>
      </c>
      <c r="E55" s="163">
        <v>15400</v>
      </c>
      <c r="F55" s="161"/>
      <c r="G55" s="153">
        <f>E55*20%</f>
        <v>3080</v>
      </c>
      <c r="H55" s="153">
        <f>D55*20%</f>
        <v>3696</v>
      </c>
      <c r="I55" s="153">
        <f>(D55+H55)*C55*12</f>
        <v>266112</v>
      </c>
      <c r="J55" s="375">
        <f t="shared" si="0"/>
        <v>22176</v>
      </c>
    </row>
    <row r="56" spans="1:10" s="111" customFormat="1" ht="12.75">
      <c r="A56" s="348" t="s">
        <v>463</v>
      </c>
      <c r="B56" s="164" t="s">
        <v>251</v>
      </c>
      <c r="C56" s="165">
        <v>36</v>
      </c>
      <c r="D56" s="153">
        <f t="shared" si="12"/>
        <v>15672.72415250415</v>
      </c>
      <c r="E56" s="163">
        <v>11265</v>
      </c>
      <c r="F56" s="161"/>
      <c r="G56" s="153">
        <f>E56*39.127600111%</f>
        <v>4407.72415250415</v>
      </c>
      <c r="H56" s="153">
        <f t="shared" si="13"/>
        <v>3134.5448305008304</v>
      </c>
      <c r="I56" s="153">
        <f t="shared" si="14"/>
        <v>8124740.20065815</v>
      </c>
      <c r="J56" s="375">
        <f t="shared" si="0"/>
        <v>18807.26898300498</v>
      </c>
    </row>
    <row r="57" spans="1:11" s="111" customFormat="1" ht="12.75">
      <c r="A57" s="348" t="s">
        <v>464</v>
      </c>
      <c r="B57" s="164" t="s">
        <v>252</v>
      </c>
      <c r="C57" s="165">
        <v>1</v>
      </c>
      <c r="D57" s="153">
        <f t="shared" si="12"/>
        <v>15771</v>
      </c>
      <c r="E57" s="163">
        <v>11265</v>
      </c>
      <c r="F57" s="161"/>
      <c r="G57" s="153">
        <f>E57*40%</f>
        <v>4506</v>
      </c>
      <c r="H57" s="153">
        <f t="shared" si="13"/>
        <v>3154.2000000000003</v>
      </c>
      <c r="I57" s="153">
        <f t="shared" si="14"/>
        <v>227102.40000000002</v>
      </c>
      <c r="J57" s="375">
        <f t="shared" si="0"/>
        <v>18925.2</v>
      </c>
      <c r="K57" s="375">
        <f>(I56+I57+I58+I59+I60+I61)/12/(C56+C57+C58+C59+C60+C61)</f>
        <v>18669.100733806135</v>
      </c>
    </row>
    <row r="58" spans="1:10" s="111" customFormat="1" ht="12.75">
      <c r="A58" s="347" t="s">
        <v>465</v>
      </c>
      <c r="B58" s="164" t="s">
        <v>253</v>
      </c>
      <c r="C58" s="165">
        <v>4.5</v>
      </c>
      <c r="D58" s="153">
        <f t="shared" si="12"/>
        <v>14742</v>
      </c>
      <c r="E58" s="163">
        <v>10530</v>
      </c>
      <c r="F58" s="161"/>
      <c r="G58" s="153">
        <f>E58*40%</f>
        <v>4212</v>
      </c>
      <c r="H58" s="153">
        <f t="shared" si="13"/>
        <v>2948.4</v>
      </c>
      <c r="I58" s="153">
        <f t="shared" si="14"/>
        <v>955281.6000000001</v>
      </c>
      <c r="J58" s="375">
        <f t="shared" si="0"/>
        <v>17690.4</v>
      </c>
    </row>
    <row r="59" spans="1:10" s="111" customFormat="1" ht="12.75">
      <c r="A59" s="348" t="s">
        <v>466</v>
      </c>
      <c r="B59" s="164" t="s">
        <v>254</v>
      </c>
      <c r="C59" s="165">
        <v>1</v>
      </c>
      <c r="D59" s="153">
        <f t="shared" si="12"/>
        <v>14742</v>
      </c>
      <c r="E59" s="163">
        <v>10530</v>
      </c>
      <c r="F59" s="161"/>
      <c r="G59" s="153">
        <f>E59*40%</f>
        <v>4212</v>
      </c>
      <c r="H59" s="153">
        <f t="shared" si="13"/>
        <v>2948.4</v>
      </c>
      <c r="I59" s="153">
        <f t="shared" si="14"/>
        <v>212284.80000000002</v>
      </c>
      <c r="J59" s="375">
        <f t="shared" si="0"/>
        <v>17690.4</v>
      </c>
    </row>
    <row r="60" spans="1:10" s="111" customFormat="1" ht="12.75">
      <c r="A60" s="348" t="s">
        <v>467</v>
      </c>
      <c r="B60" s="164" t="s">
        <v>255</v>
      </c>
      <c r="C60" s="165">
        <v>2</v>
      </c>
      <c r="D60" s="153">
        <f t="shared" si="12"/>
        <v>15600</v>
      </c>
      <c r="E60" s="163">
        <v>12000</v>
      </c>
      <c r="F60" s="161"/>
      <c r="G60" s="153">
        <f>E60*30%</f>
        <v>3600</v>
      </c>
      <c r="H60" s="153">
        <f>D60*20%</f>
        <v>3120</v>
      </c>
      <c r="I60" s="153">
        <f t="shared" si="14"/>
        <v>449280</v>
      </c>
      <c r="J60" s="375">
        <f t="shared" si="0"/>
        <v>18720</v>
      </c>
    </row>
    <row r="61" spans="1:10" s="111" customFormat="1" ht="12.75">
      <c r="A61" s="347" t="s">
        <v>468</v>
      </c>
      <c r="B61" s="164" t="s">
        <v>256</v>
      </c>
      <c r="C61" s="165">
        <v>1</v>
      </c>
      <c r="D61" s="153">
        <f t="shared" si="12"/>
        <v>15600</v>
      </c>
      <c r="E61" s="163">
        <v>12000</v>
      </c>
      <c r="F61" s="161"/>
      <c r="G61" s="153">
        <f>E61*30%</f>
        <v>3600</v>
      </c>
      <c r="H61" s="153">
        <f t="shared" si="13"/>
        <v>3120</v>
      </c>
      <c r="I61" s="153">
        <f t="shared" si="14"/>
        <v>224640</v>
      </c>
      <c r="J61" s="375">
        <f t="shared" si="0"/>
        <v>18720</v>
      </c>
    </row>
    <row r="62" spans="1:10" s="111" customFormat="1" ht="12.75">
      <c r="A62" s="348" t="s">
        <v>469</v>
      </c>
      <c r="B62" s="164" t="s">
        <v>257</v>
      </c>
      <c r="C62" s="165">
        <v>28</v>
      </c>
      <c r="D62" s="153">
        <f t="shared" si="12"/>
        <v>8250</v>
      </c>
      <c r="E62" s="163">
        <v>5500</v>
      </c>
      <c r="F62" s="161"/>
      <c r="G62" s="153">
        <f>E62*50%</f>
        <v>2750</v>
      </c>
      <c r="H62" s="153">
        <f t="shared" si="13"/>
        <v>1650</v>
      </c>
      <c r="I62" s="153">
        <f>(D62+H62)*C62*12</f>
        <v>3326400</v>
      </c>
      <c r="J62" s="375">
        <f t="shared" si="0"/>
        <v>9900</v>
      </c>
    </row>
    <row r="63" spans="1:11" s="121" customFormat="1" ht="18" customHeight="1">
      <c r="A63" s="617" t="s">
        <v>198</v>
      </c>
      <c r="B63" s="638"/>
      <c r="C63" s="168">
        <f>C53+C54+C56+C57+C58+C59+C60+C61+C62+C55</f>
        <v>76.5</v>
      </c>
      <c r="D63" s="159" t="s">
        <v>132</v>
      </c>
      <c r="E63" s="159" t="s">
        <v>132</v>
      </c>
      <c r="F63" s="159" t="s">
        <v>132</v>
      </c>
      <c r="G63" s="159" t="s">
        <v>132</v>
      </c>
      <c r="H63" s="159" t="s">
        <v>132</v>
      </c>
      <c r="I63" s="160">
        <f>SUM(I53:I62)</f>
        <v>14558833.00065815</v>
      </c>
      <c r="J63" s="121">
        <v>14558833</v>
      </c>
      <c r="K63" s="174">
        <f>J63-I63</f>
        <v>-0.0006581507623195648</v>
      </c>
    </row>
    <row r="64" spans="1:9" s="121" customFormat="1" ht="18" customHeight="1">
      <c r="A64" s="621" t="s">
        <v>327</v>
      </c>
      <c r="B64" s="622"/>
      <c r="C64" s="168">
        <f>C33+C63</f>
        <v>132.62</v>
      </c>
      <c r="D64" s="159" t="s">
        <v>132</v>
      </c>
      <c r="E64" s="159" t="s">
        <v>132</v>
      </c>
      <c r="F64" s="159" t="s">
        <v>132</v>
      </c>
      <c r="G64" s="159" t="s">
        <v>132</v>
      </c>
      <c r="H64" s="159" t="s">
        <v>132</v>
      </c>
      <c r="I64" s="160">
        <f>I33+I63+I52+0.01</f>
        <v>21490333.002374146</v>
      </c>
    </row>
    <row r="65" spans="1:9" s="121" customFormat="1" ht="6" customHeight="1">
      <c r="A65" s="179"/>
      <c r="B65" s="179"/>
      <c r="C65" s="179"/>
      <c r="D65" s="180"/>
      <c r="E65" s="180"/>
      <c r="F65" s="180"/>
      <c r="G65" s="180"/>
      <c r="H65" s="180"/>
      <c r="I65" s="222"/>
    </row>
    <row r="66" spans="1:9" s="112" customFormat="1" ht="17.25" customHeight="1" hidden="1">
      <c r="A66" s="600" t="s">
        <v>364</v>
      </c>
      <c r="B66" s="600"/>
      <c r="C66" s="640"/>
      <c r="D66" s="640"/>
      <c r="E66" s="640"/>
      <c r="F66" s="640"/>
      <c r="G66" s="640"/>
      <c r="H66" s="640"/>
      <c r="I66" s="640"/>
    </row>
    <row r="67" spans="1:2" s="111" customFormat="1" ht="12.75" customHeight="1" hidden="1">
      <c r="A67" s="600" t="s">
        <v>365</v>
      </c>
      <c r="B67" s="600"/>
    </row>
    <row r="68" spans="1:9" s="112" customFormat="1" ht="17.25" customHeight="1" hidden="1">
      <c r="A68" s="600" t="s">
        <v>354</v>
      </c>
      <c r="B68" s="600"/>
      <c r="C68" s="600"/>
      <c r="D68" s="600"/>
      <c r="E68" s="600"/>
      <c r="F68" s="600"/>
      <c r="G68" s="600"/>
      <c r="H68" s="600"/>
      <c r="I68" s="600"/>
    </row>
    <row r="69" spans="1:9" s="121" customFormat="1" ht="17.25" customHeight="1" hidden="1">
      <c r="A69" s="596" t="s">
        <v>579</v>
      </c>
      <c r="B69" s="596"/>
      <c r="C69" s="596"/>
      <c r="D69" s="596"/>
      <c r="E69" s="596"/>
      <c r="F69" s="596"/>
      <c r="G69" s="596"/>
      <c r="H69" s="596"/>
      <c r="I69" s="596"/>
    </row>
    <row r="70" spans="1:6" s="123" customFormat="1" ht="54" customHeight="1" hidden="1">
      <c r="A70" s="122" t="s">
        <v>125</v>
      </c>
      <c r="B70" s="122" t="s">
        <v>122</v>
      </c>
      <c r="C70" s="122" t="s">
        <v>133</v>
      </c>
      <c r="D70" s="122" t="s">
        <v>134</v>
      </c>
      <c r="E70" s="122" t="s">
        <v>135</v>
      </c>
      <c r="F70" s="122" t="s">
        <v>136</v>
      </c>
    </row>
    <row r="71" spans="1:6" s="123" customFormat="1" ht="12.75" hidden="1">
      <c r="A71" s="122">
        <v>1</v>
      </c>
      <c r="B71" s="122">
        <v>2</v>
      </c>
      <c r="C71" s="122">
        <v>3</v>
      </c>
      <c r="D71" s="122">
        <v>4</v>
      </c>
      <c r="E71" s="122">
        <v>5</v>
      </c>
      <c r="F71" s="122">
        <v>6</v>
      </c>
    </row>
    <row r="72" spans="1:6" s="111" customFormat="1" ht="30" customHeight="1" hidden="1">
      <c r="A72" s="115" t="s">
        <v>411</v>
      </c>
      <c r="B72" s="116" t="s">
        <v>412</v>
      </c>
      <c r="C72" s="114"/>
      <c r="D72" s="114"/>
      <c r="E72" s="114"/>
      <c r="F72" s="205">
        <f>C72*D72*E72</f>
        <v>0</v>
      </c>
    </row>
    <row r="73" spans="1:6" s="111" customFormat="1" ht="38.25" hidden="1">
      <c r="A73" s="115" t="s">
        <v>413</v>
      </c>
      <c r="B73" s="116" t="s">
        <v>414</v>
      </c>
      <c r="C73" s="114"/>
      <c r="D73" s="114"/>
      <c r="E73" s="114"/>
      <c r="F73" s="205">
        <f>C73*D73*E73</f>
        <v>0</v>
      </c>
    </row>
    <row r="74" spans="1:6" s="111" customFormat="1" ht="12.75" hidden="1">
      <c r="A74" s="115" t="s">
        <v>328</v>
      </c>
      <c r="B74" s="116"/>
      <c r="C74" s="114"/>
      <c r="D74" s="114"/>
      <c r="E74" s="114"/>
      <c r="F74" s="114"/>
    </row>
    <row r="75" spans="1:6" s="111" customFormat="1" ht="14.25" customHeight="1" hidden="1">
      <c r="A75" s="614" t="s">
        <v>366</v>
      </c>
      <c r="B75" s="613"/>
      <c r="C75" s="114" t="s">
        <v>8</v>
      </c>
      <c r="D75" s="114" t="s">
        <v>132</v>
      </c>
      <c r="E75" s="114" t="s">
        <v>132</v>
      </c>
      <c r="F75" s="203">
        <f>SUM(F72:F74)</f>
        <v>0</v>
      </c>
    </row>
    <row r="76" spans="1:6" s="111" customFormat="1" ht="12.75" hidden="1">
      <c r="A76" s="115">
        <v>1</v>
      </c>
      <c r="B76" s="116"/>
      <c r="C76" s="114"/>
      <c r="D76" s="114"/>
      <c r="E76" s="114"/>
      <c r="F76" s="114"/>
    </row>
    <row r="77" spans="1:6" s="111" customFormat="1" ht="12.75" hidden="1">
      <c r="A77" s="115">
        <v>2</v>
      </c>
      <c r="B77" s="116"/>
      <c r="C77" s="114"/>
      <c r="D77" s="114"/>
      <c r="E77" s="114"/>
      <c r="F77" s="114"/>
    </row>
    <row r="78" spans="1:6" s="111" customFormat="1" ht="12.75" hidden="1">
      <c r="A78" s="115">
        <v>3</v>
      </c>
      <c r="B78" s="116"/>
      <c r="C78" s="114"/>
      <c r="D78" s="114"/>
      <c r="E78" s="114"/>
      <c r="F78" s="114"/>
    </row>
    <row r="79" spans="1:6" s="111" customFormat="1" ht="12.75" hidden="1">
      <c r="A79" s="115" t="s">
        <v>328</v>
      </c>
      <c r="B79" s="116"/>
      <c r="C79" s="114"/>
      <c r="D79" s="114"/>
      <c r="E79" s="114"/>
      <c r="F79" s="114"/>
    </row>
    <row r="80" spans="1:6" s="111" customFormat="1" ht="14.25" customHeight="1" hidden="1">
      <c r="A80" s="614" t="s">
        <v>198</v>
      </c>
      <c r="B80" s="613"/>
      <c r="C80" s="114" t="s">
        <v>8</v>
      </c>
      <c r="D80" s="114" t="s">
        <v>132</v>
      </c>
      <c r="E80" s="114" t="s">
        <v>132</v>
      </c>
      <c r="F80" s="203">
        <f>SUM(F76:F78)</f>
        <v>0</v>
      </c>
    </row>
    <row r="81" spans="1:6" s="111" customFormat="1" ht="12.75" hidden="1">
      <c r="A81" s="115"/>
      <c r="B81" s="168" t="s">
        <v>327</v>
      </c>
      <c r="C81" s="114" t="s">
        <v>8</v>
      </c>
      <c r="D81" s="114" t="s">
        <v>132</v>
      </c>
      <c r="E81" s="114" t="s">
        <v>132</v>
      </c>
      <c r="F81" s="223">
        <f>F75+F80</f>
        <v>0</v>
      </c>
    </row>
    <row r="82" spans="1:6" s="111" customFormat="1" ht="12.75" hidden="1">
      <c r="A82" s="133"/>
      <c r="B82" s="179"/>
      <c r="C82" s="135"/>
      <c r="D82" s="135"/>
      <c r="E82" s="135"/>
      <c r="F82" s="226"/>
    </row>
    <row r="83" spans="1:9" s="112" customFormat="1" ht="17.25" customHeight="1">
      <c r="A83" s="600" t="s">
        <v>364</v>
      </c>
      <c r="B83" s="600"/>
      <c r="C83" s="640"/>
      <c r="D83" s="640"/>
      <c r="E83" s="640"/>
      <c r="F83" s="640"/>
      <c r="G83" s="640"/>
      <c r="H83" s="640"/>
      <c r="I83" s="640"/>
    </row>
    <row r="84" spans="1:2" s="111" customFormat="1" ht="12.75" customHeight="1">
      <c r="A84" s="600" t="s">
        <v>365</v>
      </c>
      <c r="B84" s="600"/>
    </row>
    <row r="85" spans="1:9" s="112" customFormat="1" ht="17.25" customHeight="1">
      <c r="A85" s="600" t="s">
        <v>354</v>
      </c>
      <c r="B85" s="600"/>
      <c r="C85" s="600"/>
      <c r="D85" s="600"/>
      <c r="E85" s="600"/>
      <c r="F85" s="600"/>
      <c r="G85" s="600"/>
      <c r="H85" s="600"/>
      <c r="I85" s="600"/>
    </row>
    <row r="86" spans="1:9" s="121" customFormat="1" ht="17.25" customHeight="1">
      <c r="A86" s="596" t="s">
        <v>593</v>
      </c>
      <c r="B86" s="596"/>
      <c r="C86" s="596"/>
      <c r="D86" s="596"/>
      <c r="E86" s="596"/>
      <c r="F86" s="596"/>
      <c r="G86" s="596"/>
      <c r="H86" s="596"/>
      <c r="I86" s="596"/>
    </row>
    <row r="87" spans="1:6" s="123" customFormat="1" ht="54.75" customHeight="1">
      <c r="A87" s="122" t="s">
        <v>125</v>
      </c>
      <c r="B87" s="122" t="s">
        <v>122</v>
      </c>
      <c r="C87" s="122" t="s">
        <v>137</v>
      </c>
      <c r="D87" s="122" t="s">
        <v>138</v>
      </c>
      <c r="E87" s="122" t="s">
        <v>139</v>
      </c>
      <c r="F87" s="124" t="s">
        <v>140</v>
      </c>
    </row>
    <row r="88" spans="1:6" s="123" customFormat="1" ht="12.75">
      <c r="A88" s="122">
        <v>1</v>
      </c>
      <c r="B88" s="122">
        <v>2</v>
      </c>
      <c r="C88" s="122">
        <v>3</v>
      </c>
      <c r="D88" s="122">
        <v>4</v>
      </c>
      <c r="E88" s="122">
        <v>5</v>
      </c>
      <c r="F88" s="122">
        <v>6</v>
      </c>
    </row>
    <row r="89" spans="1:6" s="111" customFormat="1" ht="51">
      <c r="A89" s="115">
        <v>1</v>
      </c>
      <c r="B89" s="116" t="s">
        <v>209</v>
      </c>
      <c r="C89" s="114">
        <v>6</v>
      </c>
      <c r="D89" s="114">
        <v>12</v>
      </c>
      <c r="E89" s="153">
        <v>60</v>
      </c>
      <c r="F89" s="153">
        <f>C89*D89*E89</f>
        <v>4320</v>
      </c>
    </row>
    <row r="90" spans="1:6" s="245" customFormat="1" ht="25.5">
      <c r="A90" s="246">
        <v>2</v>
      </c>
      <c r="B90" s="257" t="s">
        <v>208</v>
      </c>
      <c r="C90" s="249">
        <v>10</v>
      </c>
      <c r="D90" s="249">
        <v>1</v>
      </c>
      <c r="E90" s="178">
        <v>3478</v>
      </c>
      <c r="F90" s="178">
        <f>C90*D90*E90</f>
        <v>34780</v>
      </c>
    </row>
    <row r="91" spans="1:6" s="111" customFormat="1" ht="12.75">
      <c r="A91" s="115"/>
      <c r="B91" s="116" t="s">
        <v>324</v>
      </c>
      <c r="C91" s="114" t="s">
        <v>132</v>
      </c>
      <c r="D91" s="114" t="s">
        <v>132</v>
      </c>
      <c r="E91" s="114" t="s">
        <v>132</v>
      </c>
      <c r="F91" s="153">
        <f>F89+F90</f>
        <v>39100</v>
      </c>
    </row>
    <row r="92" spans="1:6" s="111" customFormat="1" ht="12.75">
      <c r="A92" s="115">
        <v>1</v>
      </c>
      <c r="B92" s="129"/>
      <c r="C92" s="114"/>
      <c r="D92" s="114"/>
      <c r="E92" s="114"/>
      <c r="F92" s="205"/>
    </row>
    <row r="93" spans="1:6" s="111" customFormat="1" ht="12.75">
      <c r="A93" s="115">
        <v>2</v>
      </c>
      <c r="B93" s="116"/>
      <c r="C93" s="116"/>
      <c r="D93" s="116"/>
      <c r="E93" s="116"/>
      <c r="F93" s="203"/>
    </row>
    <row r="94" spans="1:6" s="111" customFormat="1" ht="18" customHeight="1">
      <c r="A94" s="115"/>
      <c r="B94" s="116" t="s">
        <v>325</v>
      </c>
      <c r="C94" s="114" t="s">
        <v>132</v>
      </c>
      <c r="D94" s="114" t="s">
        <v>132</v>
      </c>
      <c r="E94" s="114" t="s">
        <v>132</v>
      </c>
      <c r="F94" s="203">
        <f>SUM(F92:F93)</f>
        <v>0</v>
      </c>
    </row>
    <row r="95" spans="1:6" s="111" customFormat="1" ht="12.75">
      <c r="A95" s="115"/>
      <c r="B95" s="168" t="s">
        <v>327</v>
      </c>
      <c r="C95" s="114" t="s">
        <v>132</v>
      </c>
      <c r="D95" s="114" t="s">
        <v>132</v>
      </c>
      <c r="E95" s="114" t="s">
        <v>132</v>
      </c>
      <c r="F95" s="170">
        <f>F91+F94</f>
        <v>39100</v>
      </c>
    </row>
    <row r="96" spans="1:9" s="121" customFormat="1" ht="12.75">
      <c r="A96" s="179"/>
      <c r="B96" s="179"/>
      <c r="C96" s="179"/>
      <c r="D96" s="373"/>
      <c r="E96" s="467"/>
      <c r="F96" s="468"/>
      <c r="G96" s="180"/>
      <c r="H96" s="180"/>
      <c r="I96" s="222"/>
    </row>
    <row r="97" spans="1:9" s="121" customFormat="1" ht="10.5" customHeight="1">
      <c r="A97" s="179"/>
      <c r="B97" s="179"/>
      <c r="C97" s="179"/>
      <c r="D97" s="180"/>
      <c r="E97" s="180"/>
      <c r="F97" s="180"/>
      <c r="G97" s="180"/>
      <c r="H97" s="180"/>
      <c r="I97" s="222"/>
    </row>
    <row r="98" spans="1:10" s="112" customFormat="1" ht="12.75">
      <c r="A98" s="600" t="s">
        <v>592</v>
      </c>
      <c r="B98" s="600"/>
      <c r="C98" s="373"/>
      <c r="F98" s="373"/>
      <c r="G98" s="373"/>
      <c r="H98" s="373"/>
      <c r="I98" s="373"/>
      <c r="J98" s="373"/>
    </row>
    <row r="99" spans="1:2" s="111" customFormat="1" ht="12.75">
      <c r="A99" s="600" t="s">
        <v>503</v>
      </c>
      <c r="B99" s="600"/>
    </row>
    <row r="100" spans="1:9" s="112" customFormat="1" ht="17.25" customHeight="1">
      <c r="A100" s="600" t="s">
        <v>354</v>
      </c>
      <c r="B100" s="600"/>
      <c r="C100" s="600"/>
      <c r="D100" s="600"/>
      <c r="E100" s="600"/>
      <c r="F100" s="600"/>
      <c r="G100" s="600"/>
      <c r="H100" s="600"/>
      <c r="I100" s="600"/>
    </row>
    <row r="101" spans="1:10" s="121" customFormat="1" ht="12.75">
      <c r="A101" s="644" t="s">
        <v>594</v>
      </c>
      <c r="B101" s="644"/>
      <c r="C101" s="644"/>
      <c r="D101" s="644"/>
      <c r="E101" s="644"/>
      <c r="F101" s="644"/>
      <c r="G101" s="131"/>
      <c r="H101" s="131"/>
      <c r="I101" s="131"/>
      <c r="J101" s="131"/>
    </row>
    <row r="102" spans="1:5" s="123" customFormat="1" ht="25.5">
      <c r="A102" s="122" t="s">
        <v>125</v>
      </c>
      <c r="B102" s="122" t="s">
        <v>141</v>
      </c>
      <c r="C102" s="624" t="s">
        <v>142</v>
      </c>
      <c r="D102" s="625"/>
      <c r="E102" s="122" t="s">
        <v>143</v>
      </c>
    </row>
    <row r="103" spans="1:5" s="123" customFormat="1" ht="12.75">
      <c r="A103" s="122">
        <v>1</v>
      </c>
      <c r="B103" s="122">
        <v>2</v>
      </c>
      <c r="C103" s="624">
        <v>3</v>
      </c>
      <c r="D103" s="625"/>
      <c r="E103" s="122">
        <v>4</v>
      </c>
    </row>
    <row r="104" spans="1:5" s="111" customFormat="1" ht="12.75">
      <c r="A104" s="115">
        <v>1</v>
      </c>
      <c r="B104" s="118" t="s">
        <v>320</v>
      </c>
      <c r="C104" s="631">
        <f>I33+I52</f>
        <v>6931499.991715991</v>
      </c>
      <c r="D104" s="632"/>
      <c r="E104" s="161">
        <f>C104*22%+87</f>
        <v>1525016.998177518</v>
      </c>
    </row>
    <row r="105" spans="1:5" s="111" customFormat="1" ht="12.75">
      <c r="A105" s="149">
        <v>2</v>
      </c>
      <c r="B105" s="120" t="s">
        <v>321</v>
      </c>
      <c r="C105" s="631">
        <f>C104</f>
        <v>6931499.991715991</v>
      </c>
      <c r="D105" s="632"/>
      <c r="E105" s="204">
        <f>C105*2.9%</f>
        <v>201013.4997597637</v>
      </c>
    </row>
    <row r="106" spans="1:5" s="111" customFormat="1" ht="25.5">
      <c r="A106" s="115">
        <v>3</v>
      </c>
      <c r="B106" s="118" t="s">
        <v>322</v>
      </c>
      <c r="C106" s="631">
        <f>C105</f>
        <v>6931499.991715991</v>
      </c>
      <c r="D106" s="632"/>
      <c r="E106" s="161">
        <f>C106*5.1%</f>
        <v>353506.4995775155</v>
      </c>
    </row>
    <row r="107" spans="1:5" s="111" customFormat="1" ht="38.25">
      <c r="A107" s="202">
        <v>4</v>
      </c>
      <c r="B107" s="118" t="s">
        <v>323</v>
      </c>
      <c r="C107" s="631">
        <f>C104</f>
        <v>6931499.991715991</v>
      </c>
      <c r="D107" s="632"/>
      <c r="E107" s="161">
        <f>C107*0.2%</f>
        <v>13862.999983431982</v>
      </c>
    </row>
    <row r="108" spans="1:5" s="121" customFormat="1" ht="12.75">
      <c r="A108" s="619" t="s">
        <v>324</v>
      </c>
      <c r="B108" s="620"/>
      <c r="C108" s="633" t="s">
        <v>132</v>
      </c>
      <c r="D108" s="634"/>
      <c r="E108" s="177">
        <f>SUM(E104:E107)</f>
        <v>2093399.9974982291</v>
      </c>
    </row>
    <row r="109" spans="1:5" s="111" customFormat="1" ht="12.75">
      <c r="A109" s="115">
        <v>1</v>
      </c>
      <c r="B109" s="118" t="s">
        <v>320</v>
      </c>
      <c r="C109" s="631">
        <f>I63</f>
        <v>14558833.00065815</v>
      </c>
      <c r="D109" s="632"/>
      <c r="E109" s="161">
        <f>C109*22%-0.57</f>
        <v>3202942.690144793</v>
      </c>
    </row>
    <row r="110" spans="1:5" s="111" customFormat="1" ht="12.75">
      <c r="A110" s="149">
        <v>2</v>
      </c>
      <c r="B110" s="120" t="s">
        <v>321</v>
      </c>
      <c r="C110" s="631">
        <f>C109</f>
        <v>14558833.00065815</v>
      </c>
      <c r="D110" s="632"/>
      <c r="E110" s="204">
        <f>C110*2.9%</f>
        <v>422206.15701908636</v>
      </c>
    </row>
    <row r="111" spans="1:5" s="111" customFormat="1" ht="25.5">
      <c r="A111" s="115">
        <v>3</v>
      </c>
      <c r="B111" s="118" t="s">
        <v>322</v>
      </c>
      <c r="C111" s="631">
        <f>C109</f>
        <v>14558833.00065815</v>
      </c>
      <c r="D111" s="632"/>
      <c r="E111" s="161">
        <f>C111*5.1%</f>
        <v>742500.4830335657</v>
      </c>
    </row>
    <row r="112" spans="1:5" s="111" customFormat="1" ht="38.25">
      <c r="A112" s="202">
        <v>4</v>
      </c>
      <c r="B112" s="118" t="s">
        <v>323</v>
      </c>
      <c r="C112" s="631">
        <f>C109</f>
        <v>14558833.00065815</v>
      </c>
      <c r="D112" s="632"/>
      <c r="E112" s="161">
        <f>C112*0.2%</f>
        <v>29117.666001316302</v>
      </c>
    </row>
    <row r="113" spans="1:10" s="121" customFormat="1" ht="12.75">
      <c r="A113" s="619" t="s">
        <v>325</v>
      </c>
      <c r="B113" s="620"/>
      <c r="C113" s="633" t="s">
        <v>132</v>
      </c>
      <c r="D113" s="634"/>
      <c r="E113" s="160">
        <f>SUM(E109:E112)</f>
        <v>4396766.996198761</v>
      </c>
      <c r="J113" s="174">
        <f>I63+E113</f>
        <v>18955599.996856913</v>
      </c>
    </row>
    <row r="114" spans="1:5" s="111" customFormat="1" ht="12.75">
      <c r="A114" s="115"/>
      <c r="B114" s="175" t="s">
        <v>327</v>
      </c>
      <c r="C114" s="635" t="s">
        <v>132</v>
      </c>
      <c r="D114" s="632"/>
      <c r="E114" s="177">
        <f>E108+E113+0.01</f>
        <v>6490167.00369699</v>
      </c>
    </row>
    <row r="115" spans="1:9" s="121" customFormat="1" ht="6.75" customHeight="1">
      <c r="A115" s="179"/>
      <c r="B115" s="179"/>
      <c r="C115" s="179"/>
      <c r="D115" s="180"/>
      <c r="E115" s="180"/>
      <c r="F115" s="180"/>
      <c r="G115" s="180"/>
      <c r="H115" s="180"/>
      <c r="I115" s="222"/>
    </row>
    <row r="116" spans="1:9" s="111" customFormat="1" ht="15" customHeight="1" hidden="1">
      <c r="A116" s="623" t="s">
        <v>355</v>
      </c>
      <c r="B116" s="623"/>
      <c r="C116" s="623"/>
      <c r="D116" s="623"/>
      <c r="E116" s="623"/>
      <c r="F116" s="623"/>
      <c r="G116" s="623"/>
      <c r="H116" s="623"/>
      <c r="I116" s="623"/>
    </row>
    <row r="117" spans="1:9" s="112" customFormat="1" ht="17.25" customHeight="1" hidden="1">
      <c r="A117" s="600" t="s">
        <v>356</v>
      </c>
      <c r="B117" s="600"/>
      <c r="C117" s="640"/>
      <c r="D117" s="640"/>
      <c r="E117" s="640"/>
      <c r="F117" s="640"/>
      <c r="G117" s="640"/>
      <c r="H117" s="640"/>
      <c r="I117" s="640"/>
    </row>
    <row r="118" spans="1:2" s="111" customFormat="1" ht="12.75" customHeight="1" hidden="1">
      <c r="A118" s="600" t="s">
        <v>357</v>
      </c>
      <c r="B118" s="600"/>
    </row>
    <row r="119" spans="1:9" s="112" customFormat="1" ht="17.25" customHeight="1" hidden="1">
      <c r="A119" s="600" t="s">
        <v>354</v>
      </c>
      <c r="B119" s="600"/>
      <c r="C119" s="600"/>
      <c r="D119" s="600"/>
      <c r="E119" s="600"/>
      <c r="F119" s="600"/>
      <c r="G119" s="600"/>
      <c r="H119" s="600"/>
      <c r="I119" s="600"/>
    </row>
    <row r="120" spans="1:9" s="121" customFormat="1" ht="12.75" customHeight="1" hidden="1">
      <c r="A120" s="596" t="s">
        <v>358</v>
      </c>
      <c r="B120" s="596"/>
      <c r="C120" s="596"/>
      <c r="D120" s="596"/>
      <c r="E120" s="596"/>
      <c r="F120" s="596"/>
      <c r="G120" s="596"/>
      <c r="H120" s="596"/>
      <c r="I120" s="596"/>
    </row>
    <row r="121" spans="1:5" s="123" customFormat="1" ht="35.25" customHeight="1" hidden="1">
      <c r="A121" s="122" t="s">
        <v>125</v>
      </c>
      <c r="B121" s="122" t="s">
        <v>1</v>
      </c>
      <c r="C121" s="122" t="s">
        <v>144</v>
      </c>
      <c r="D121" s="122" t="s">
        <v>145</v>
      </c>
      <c r="E121" s="122" t="s">
        <v>146</v>
      </c>
    </row>
    <row r="122" spans="1:5" s="123" customFormat="1" ht="12.75" hidden="1">
      <c r="A122" s="122">
        <v>1</v>
      </c>
      <c r="B122" s="122">
        <v>2</v>
      </c>
      <c r="C122" s="122">
        <v>3</v>
      </c>
      <c r="D122" s="122">
        <v>4</v>
      </c>
      <c r="E122" s="122">
        <v>5</v>
      </c>
    </row>
    <row r="123" spans="1:5" s="111" customFormat="1" ht="12.75" hidden="1">
      <c r="A123" s="115">
        <v>1</v>
      </c>
      <c r="B123" s="116"/>
      <c r="C123" s="116"/>
      <c r="D123" s="116"/>
      <c r="E123" s="116"/>
    </row>
    <row r="124" spans="1:5" s="111" customFormat="1" ht="12.75" hidden="1">
      <c r="A124" s="115"/>
      <c r="B124" s="175" t="s">
        <v>327</v>
      </c>
      <c r="C124" s="114" t="s">
        <v>132</v>
      </c>
      <c r="D124" s="114" t="s">
        <v>132</v>
      </c>
      <c r="E124" s="223">
        <f>SUM(E123:E123)</f>
        <v>0</v>
      </c>
    </row>
    <row r="125" s="111" customFormat="1" ht="12.75" hidden="1">
      <c r="A125" s="108"/>
    </row>
    <row r="126" spans="1:9" s="111" customFormat="1" ht="15" customHeight="1">
      <c r="A126" s="623" t="s">
        <v>595</v>
      </c>
      <c r="B126" s="623"/>
      <c r="C126" s="623"/>
      <c r="D126" s="623"/>
      <c r="E126" s="623"/>
      <c r="F126" s="623"/>
      <c r="G126" s="623"/>
      <c r="H126" s="623"/>
      <c r="I126" s="623"/>
    </row>
    <row r="127" spans="1:9" s="112" customFormat="1" ht="17.25" customHeight="1" hidden="1">
      <c r="A127" s="600" t="s">
        <v>368</v>
      </c>
      <c r="B127" s="600"/>
      <c r="C127" s="640"/>
      <c r="D127" s="640"/>
      <c r="E127" s="640"/>
      <c r="F127" s="640"/>
      <c r="G127" s="640"/>
      <c r="H127" s="640"/>
      <c r="I127" s="640"/>
    </row>
    <row r="128" spans="1:2" s="111" customFormat="1" ht="12.75" customHeight="1" hidden="1">
      <c r="A128" s="600" t="s">
        <v>369</v>
      </c>
      <c r="B128" s="600"/>
    </row>
    <row r="129" spans="1:9" s="112" customFormat="1" ht="17.25" customHeight="1" hidden="1">
      <c r="A129" s="600" t="s">
        <v>354</v>
      </c>
      <c r="B129" s="600"/>
      <c r="C129" s="600"/>
      <c r="D129" s="600"/>
      <c r="E129" s="600"/>
      <c r="F129" s="600"/>
      <c r="G129" s="600"/>
      <c r="H129" s="600"/>
      <c r="I129" s="600"/>
    </row>
    <row r="130" spans="1:9" s="121" customFormat="1" ht="17.25" customHeight="1" hidden="1">
      <c r="A130" s="596" t="s">
        <v>581</v>
      </c>
      <c r="B130" s="596"/>
      <c r="C130" s="596"/>
      <c r="D130" s="596"/>
      <c r="E130" s="596"/>
      <c r="F130" s="596"/>
      <c r="G130" s="596"/>
      <c r="H130" s="596"/>
      <c r="I130" s="596"/>
    </row>
    <row r="131" spans="1:6" s="123" customFormat="1" ht="54" customHeight="1" hidden="1">
      <c r="A131" s="122" t="s">
        <v>125</v>
      </c>
      <c r="B131" s="122" t="s">
        <v>122</v>
      </c>
      <c r="C131" s="122" t="s">
        <v>370</v>
      </c>
      <c r="D131" s="122" t="s">
        <v>371</v>
      </c>
      <c r="E131" s="122" t="s">
        <v>135</v>
      </c>
      <c r="F131" s="122" t="s">
        <v>136</v>
      </c>
    </row>
    <row r="132" spans="1:6" s="123" customFormat="1" ht="12.75" hidden="1">
      <c r="A132" s="122">
        <v>1</v>
      </c>
      <c r="B132" s="122">
        <v>2</v>
      </c>
      <c r="C132" s="122">
        <v>3</v>
      </c>
      <c r="D132" s="122">
        <v>4</v>
      </c>
      <c r="E132" s="122">
        <v>5</v>
      </c>
      <c r="F132" s="122">
        <v>6</v>
      </c>
    </row>
    <row r="133" spans="1:6" s="111" customFormat="1" ht="12.75" hidden="1">
      <c r="A133" s="115">
        <v>1</v>
      </c>
      <c r="B133" s="225"/>
      <c r="C133" s="114"/>
      <c r="D133" s="114"/>
      <c r="E133" s="114"/>
      <c r="F133" s="114"/>
    </row>
    <row r="134" spans="1:6" s="111" customFormat="1" ht="12.75" hidden="1">
      <c r="A134" s="115">
        <v>2</v>
      </c>
      <c r="B134" s="116"/>
      <c r="C134" s="114"/>
      <c r="D134" s="114"/>
      <c r="E134" s="114"/>
      <c r="F134" s="114"/>
    </row>
    <row r="135" spans="1:6" s="111" customFormat="1" ht="12.75" hidden="1">
      <c r="A135" s="115" t="s">
        <v>328</v>
      </c>
      <c r="B135" s="116"/>
      <c r="C135" s="114"/>
      <c r="D135" s="114"/>
      <c r="E135" s="114"/>
      <c r="F135" s="114"/>
    </row>
    <row r="136" spans="1:6" s="111" customFormat="1" ht="14.25" customHeight="1" hidden="1">
      <c r="A136" s="614" t="s">
        <v>366</v>
      </c>
      <c r="B136" s="613"/>
      <c r="C136" s="114" t="s">
        <v>8</v>
      </c>
      <c r="D136" s="114" t="s">
        <v>132</v>
      </c>
      <c r="E136" s="114" t="s">
        <v>132</v>
      </c>
      <c r="F136" s="203">
        <f>SUM(F133:F135)</f>
        <v>0</v>
      </c>
    </row>
    <row r="137" spans="1:6" s="111" customFormat="1" ht="12.75" hidden="1">
      <c r="A137" s="115">
        <v>1</v>
      </c>
      <c r="B137" s="116"/>
      <c r="C137" s="114"/>
      <c r="D137" s="114"/>
      <c r="E137" s="114"/>
      <c r="F137" s="114"/>
    </row>
    <row r="138" spans="1:6" s="111" customFormat="1" ht="12.75" hidden="1">
      <c r="A138" s="115">
        <v>2</v>
      </c>
      <c r="B138" s="116"/>
      <c r="C138" s="114"/>
      <c r="D138" s="114"/>
      <c r="E138" s="114"/>
      <c r="F138" s="114"/>
    </row>
    <row r="139" spans="1:6" s="111" customFormat="1" ht="12.75" hidden="1">
      <c r="A139" s="115">
        <v>3</v>
      </c>
      <c r="B139" s="116"/>
      <c r="C139" s="114"/>
      <c r="D139" s="114"/>
      <c r="E139" s="114"/>
      <c r="F139" s="114"/>
    </row>
    <row r="140" spans="1:6" s="111" customFormat="1" ht="12.75" hidden="1">
      <c r="A140" s="115" t="s">
        <v>328</v>
      </c>
      <c r="B140" s="116"/>
      <c r="C140" s="114"/>
      <c r="D140" s="114"/>
      <c r="E140" s="114"/>
      <c r="F140" s="114"/>
    </row>
    <row r="141" spans="1:6" s="111" customFormat="1" ht="14.25" customHeight="1" hidden="1">
      <c r="A141" s="614" t="s">
        <v>198</v>
      </c>
      <c r="B141" s="613"/>
      <c r="C141" s="114" t="s">
        <v>8</v>
      </c>
      <c r="D141" s="114" t="s">
        <v>132</v>
      </c>
      <c r="E141" s="114" t="s">
        <v>132</v>
      </c>
      <c r="F141" s="203">
        <f>SUM(F137:F139)</f>
        <v>0</v>
      </c>
    </row>
    <row r="142" spans="1:6" s="111" customFormat="1" ht="12.75" hidden="1">
      <c r="A142" s="115"/>
      <c r="B142" s="168" t="s">
        <v>327</v>
      </c>
      <c r="C142" s="114" t="s">
        <v>8</v>
      </c>
      <c r="D142" s="114" t="s">
        <v>132</v>
      </c>
      <c r="E142" s="114" t="s">
        <v>132</v>
      </c>
      <c r="F142" s="223">
        <f>F136+F141</f>
        <v>0</v>
      </c>
    </row>
    <row r="143" spans="1:9" s="111" customFormat="1" ht="17.25" customHeight="1" hidden="1">
      <c r="A143" s="155"/>
      <c r="B143" s="155"/>
      <c r="C143" s="155"/>
      <c r="D143" s="155"/>
      <c r="E143" s="155"/>
      <c r="F143" s="155"/>
      <c r="G143" s="155"/>
      <c r="H143" s="155"/>
      <c r="I143" s="155"/>
    </row>
    <row r="144" spans="1:10" s="112" customFormat="1" ht="12.75">
      <c r="A144" s="600" t="s">
        <v>509</v>
      </c>
      <c r="B144" s="600"/>
      <c r="C144" s="373"/>
      <c r="D144" s="373"/>
      <c r="E144" s="373"/>
      <c r="F144" s="373"/>
      <c r="G144" s="373"/>
      <c r="H144" s="373"/>
      <c r="I144" s="373"/>
      <c r="J144" s="373"/>
    </row>
    <row r="145" spans="1:2" s="111" customFormat="1" ht="12.75">
      <c r="A145" s="600" t="s">
        <v>369</v>
      </c>
      <c r="B145" s="600"/>
    </row>
    <row r="146" spans="1:9" s="112" customFormat="1" ht="12.75">
      <c r="A146" s="600" t="s">
        <v>354</v>
      </c>
      <c r="B146" s="600"/>
      <c r="C146" s="600"/>
      <c r="D146" s="600"/>
      <c r="E146" s="600"/>
      <c r="F146" s="600"/>
      <c r="G146" s="600"/>
      <c r="H146" s="600"/>
      <c r="I146" s="600"/>
    </row>
    <row r="147" spans="1:9" s="111" customFormat="1" ht="17.25" customHeight="1">
      <c r="A147" s="596" t="s">
        <v>596</v>
      </c>
      <c r="B147" s="596"/>
      <c r="C147" s="596"/>
      <c r="D147" s="596"/>
      <c r="E147" s="596"/>
      <c r="F147" s="596"/>
      <c r="G147" s="596"/>
      <c r="H147" s="596"/>
      <c r="I147" s="596"/>
    </row>
    <row r="148" spans="1:5" s="123" customFormat="1" ht="63.75">
      <c r="A148" s="122" t="s">
        <v>125</v>
      </c>
      <c r="B148" s="122" t="s">
        <v>122</v>
      </c>
      <c r="C148" s="122" t="s">
        <v>147</v>
      </c>
      <c r="D148" s="122" t="s">
        <v>148</v>
      </c>
      <c r="E148" s="122" t="s">
        <v>149</v>
      </c>
    </row>
    <row r="149" spans="1:5" s="123" customFormat="1" ht="12.75">
      <c r="A149" s="122">
        <v>1</v>
      </c>
      <c r="B149" s="122">
        <v>2</v>
      </c>
      <c r="C149" s="122">
        <v>3</v>
      </c>
      <c r="D149" s="122">
        <v>4</v>
      </c>
      <c r="E149" s="122">
        <v>5</v>
      </c>
    </row>
    <row r="150" spans="1:5" s="111" customFormat="1" ht="12.75">
      <c r="A150" s="115" t="s">
        <v>164</v>
      </c>
      <c r="B150" s="129" t="s">
        <v>159</v>
      </c>
      <c r="C150" s="153">
        <f>C152+C155</f>
        <v>12864636.28</v>
      </c>
      <c r="D150" s="114">
        <v>2.2</v>
      </c>
      <c r="E150" s="153">
        <f>E152+E155</f>
        <v>283021.99816</v>
      </c>
    </row>
    <row r="151" spans="1:5" s="111" customFormat="1" ht="12.75">
      <c r="A151" s="115"/>
      <c r="B151" s="129" t="s">
        <v>160</v>
      </c>
      <c r="C151" s="153"/>
      <c r="D151" s="114"/>
      <c r="E151" s="153"/>
    </row>
    <row r="152" spans="1:5" s="111" customFormat="1" ht="12.75">
      <c r="A152" s="115"/>
      <c r="B152" s="130" t="s">
        <v>161</v>
      </c>
      <c r="C152" s="153">
        <v>12455950.45</v>
      </c>
      <c r="D152" s="114">
        <v>2.2</v>
      </c>
      <c r="E152" s="153">
        <f>C152*D152%</f>
        <v>274030.9099</v>
      </c>
    </row>
    <row r="153" spans="1:5" s="111" customFormat="1" ht="12.75">
      <c r="A153" s="115"/>
      <c r="B153" s="129" t="s">
        <v>14</v>
      </c>
      <c r="C153" s="153"/>
      <c r="D153" s="114"/>
      <c r="E153" s="153"/>
    </row>
    <row r="154" spans="1:5" s="111" customFormat="1" ht="12.75">
      <c r="A154" s="115"/>
      <c r="B154" s="129" t="s">
        <v>162</v>
      </c>
      <c r="C154" s="153"/>
      <c r="D154" s="114"/>
      <c r="E154" s="153"/>
    </row>
    <row r="155" spans="1:5" s="111" customFormat="1" ht="12.75">
      <c r="A155" s="115"/>
      <c r="B155" s="129" t="s">
        <v>163</v>
      </c>
      <c r="C155" s="153">
        <v>408685.83</v>
      </c>
      <c r="D155" s="114">
        <v>2.2</v>
      </c>
      <c r="E155" s="153">
        <f>C155*D155%</f>
        <v>8991.08826</v>
      </c>
    </row>
    <row r="156" spans="1:5" s="111" customFormat="1" ht="12.75">
      <c r="A156" s="115"/>
      <c r="B156" s="129" t="s">
        <v>14</v>
      </c>
      <c r="C156" s="153"/>
      <c r="D156" s="114"/>
      <c r="E156" s="153"/>
    </row>
    <row r="157" spans="1:5" s="111" customFormat="1" ht="12.75" customHeight="1">
      <c r="A157" s="115"/>
      <c r="B157" s="129" t="s">
        <v>162</v>
      </c>
      <c r="C157" s="153"/>
      <c r="D157" s="114"/>
      <c r="E157" s="153"/>
    </row>
    <row r="158" spans="1:5" s="121" customFormat="1" ht="14.25" customHeight="1">
      <c r="A158" s="626" t="s">
        <v>324</v>
      </c>
      <c r="B158" s="627"/>
      <c r="C158" s="169"/>
      <c r="D158" s="159" t="s">
        <v>132</v>
      </c>
      <c r="E158" s="170">
        <f>E150</f>
        <v>283021.99816</v>
      </c>
    </row>
    <row r="159" spans="1:11" s="111" customFormat="1" ht="15">
      <c r="A159"/>
      <c r="B159"/>
      <c r="C159"/>
      <c r="D159"/>
      <c r="E159"/>
      <c r="F159"/>
      <c r="J159" s="111">
        <v>283022</v>
      </c>
      <c r="K159" s="375">
        <f>J159-E158</f>
        <v>0.0018399999826215208</v>
      </c>
    </row>
    <row r="160" spans="1:5" s="123" customFormat="1" ht="51">
      <c r="A160" s="122" t="s">
        <v>125</v>
      </c>
      <c r="B160" s="122" t="s">
        <v>122</v>
      </c>
      <c r="C160" s="122" t="s">
        <v>168</v>
      </c>
      <c r="D160" s="122" t="s">
        <v>148</v>
      </c>
      <c r="E160" s="124" t="s">
        <v>169</v>
      </c>
    </row>
    <row r="161" spans="1:5" s="123" customFormat="1" ht="12.75">
      <c r="A161" s="122">
        <v>1</v>
      </c>
      <c r="B161" s="122">
        <v>2</v>
      </c>
      <c r="C161" s="122">
        <v>3</v>
      </c>
      <c r="D161" s="122">
        <v>4</v>
      </c>
      <c r="E161" s="122">
        <v>5</v>
      </c>
    </row>
    <row r="162" spans="1:5" s="111" customFormat="1" ht="12.75">
      <c r="A162" s="115" t="s">
        <v>165</v>
      </c>
      <c r="B162" s="129" t="s">
        <v>166</v>
      </c>
      <c r="C162" s="153">
        <f>C164+C165+C166+C167</f>
        <v>34728502.54</v>
      </c>
      <c r="D162" s="114">
        <v>1.5</v>
      </c>
      <c r="E162" s="153">
        <f>E164+E165+E166+E167</f>
        <v>520928</v>
      </c>
    </row>
    <row r="163" spans="1:5" s="111" customFormat="1" ht="12.75">
      <c r="A163" s="115"/>
      <c r="B163" s="129" t="s">
        <v>167</v>
      </c>
      <c r="C163" s="153"/>
      <c r="D163" s="114"/>
      <c r="E163" s="153"/>
    </row>
    <row r="164" spans="1:5" s="111" customFormat="1" ht="12.75">
      <c r="A164" s="115">
        <v>1</v>
      </c>
      <c r="B164" s="129" t="s">
        <v>258</v>
      </c>
      <c r="C164" s="153">
        <v>8209014.8</v>
      </c>
      <c r="D164" s="114">
        <v>1.5</v>
      </c>
      <c r="E164" s="153">
        <v>123135</v>
      </c>
    </row>
    <row r="165" spans="1:5" s="111" customFormat="1" ht="12.75">
      <c r="A165" s="115">
        <v>2</v>
      </c>
      <c r="B165" s="129" t="s">
        <v>259</v>
      </c>
      <c r="C165" s="153">
        <v>8206387.28</v>
      </c>
      <c r="D165" s="114">
        <v>1.5</v>
      </c>
      <c r="E165" s="153">
        <v>123096</v>
      </c>
    </row>
    <row r="166" spans="1:5" s="111" customFormat="1" ht="12.75">
      <c r="A166" s="115">
        <v>3</v>
      </c>
      <c r="B166" s="129" t="s">
        <v>260</v>
      </c>
      <c r="C166" s="178">
        <v>7954511.76</v>
      </c>
      <c r="D166" s="114">
        <v>1.5</v>
      </c>
      <c r="E166" s="153">
        <v>119318</v>
      </c>
    </row>
    <row r="167" spans="1:5" s="111" customFormat="1" ht="12.75">
      <c r="A167" s="115">
        <v>4</v>
      </c>
      <c r="B167" s="129" t="s">
        <v>261</v>
      </c>
      <c r="C167" s="153">
        <v>10358588.7</v>
      </c>
      <c r="D167" s="114">
        <v>1.5</v>
      </c>
      <c r="E167" s="153">
        <v>155379</v>
      </c>
    </row>
    <row r="168" spans="1:5" s="121" customFormat="1" ht="12.75">
      <c r="A168" s="175"/>
      <c r="B168" s="266" t="s">
        <v>324</v>
      </c>
      <c r="C168" s="266"/>
      <c r="D168" s="173" t="s">
        <v>132</v>
      </c>
      <c r="E168" s="170">
        <f>E164+E165+E166+E167</f>
        <v>520928</v>
      </c>
    </row>
    <row r="169" spans="1:5" s="121" customFormat="1" ht="12.75">
      <c r="A169" s="175"/>
      <c r="B169" s="224"/>
      <c r="C169" s="266"/>
      <c r="D169" s="173"/>
      <c r="E169" s="170"/>
    </row>
    <row r="170" spans="1:5" s="121" customFormat="1" ht="12.75">
      <c r="A170" s="175"/>
      <c r="B170" s="168" t="s">
        <v>410</v>
      </c>
      <c r="C170" s="176">
        <f>C162</f>
        <v>34728502.54</v>
      </c>
      <c r="D170" s="173" t="s">
        <v>132</v>
      </c>
      <c r="E170" s="170">
        <f>E158+E168+E169</f>
        <v>803949.99816</v>
      </c>
    </row>
    <row r="171" spans="1:5" s="111" customFormat="1" ht="6" customHeight="1">
      <c r="A171" s="133"/>
      <c r="B171" s="134"/>
      <c r="C171" s="134"/>
      <c r="D171" s="135"/>
      <c r="E171" s="134"/>
    </row>
    <row r="172" spans="1:10" s="112" customFormat="1" ht="17.25" customHeight="1">
      <c r="A172" s="600" t="s">
        <v>597</v>
      </c>
      <c r="B172" s="600"/>
      <c r="C172" s="373"/>
      <c r="D172" s="373"/>
      <c r="E172" s="373"/>
      <c r="F172" s="373"/>
      <c r="G172" s="373"/>
      <c r="H172" s="373"/>
      <c r="I172" s="373"/>
      <c r="J172" s="373"/>
    </row>
    <row r="173" spans="1:2" s="111" customFormat="1" ht="12.75" customHeight="1">
      <c r="A173" s="600" t="s">
        <v>369</v>
      </c>
      <c r="B173" s="600"/>
    </row>
    <row r="174" spans="1:9" s="112" customFormat="1" ht="17.25" customHeight="1">
      <c r="A174" s="600" t="s">
        <v>354</v>
      </c>
      <c r="B174" s="600"/>
      <c r="C174" s="600"/>
      <c r="D174" s="600"/>
      <c r="E174" s="600"/>
      <c r="F174" s="600"/>
      <c r="G174" s="600"/>
      <c r="H174" s="600"/>
      <c r="I174" s="600"/>
    </row>
    <row r="175" spans="1:9" s="111" customFormat="1" ht="17.25" customHeight="1">
      <c r="A175" s="596" t="s">
        <v>598</v>
      </c>
      <c r="B175" s="596"/>
      <c r="C175" s="596"/>
      <c r="D175" s="596"/>
      <c r="E175" s="596"/>
      <c r="F175" s="596"/>
      <c r="G175" s="596"/>
      <c r="H175" s="596"/>
      <c r="I175" s="596"/>
    </row>
    <row r="176" spans="1:5" s="123" customFormat="1" ht="25.5">
      <c r="A176" s="139" t="s">
        <v>125</v>
      </c>
      <c r="B176" s="139" t="s">
        <v>122</v>
      </c>
      <c r="C176" s="139" t="s">
        <v>147</v>
      </c>
      <c r="D176" s="139" t="s">
        <v>148</v>
      </c>
      <c r="E176" s="140" t="s">
        <v>169</v>
      </c>
    </row>
    <row r="177" spans="1:5" s="123" customFormat="1" ht="12.75">
      <c r="A177" s="122">
        <v>1</v>
      </c>
      <c r="B177" s="122">
        <v>2</v>
      </c>
      <c r="C177" s="122">
        <v>3</v>
      </c>
      <c r="D177" s="122">
        <v>4</v>
      </c>
      <c r="E177" s="122">
        <v>5</v>
      </c>
    </row>
    <row r="178" spans="1:5" s="111" customFormat="1" ht="12.75">
      <c r="A178" s="612" t="s">
        <v>158</v>
      </c>
      <c r="B178" s="611"/>
      <c r="C178" s="138"/>
      <c r="D178" s="138"/>
      <c r="E178" s="153">
        <f>E179</f>
        <v>5900</v>
      </c>
    </row>
    <row r="179" spans="1:5" s="111" customFormat="1" ht="12.75">
      <c r="A179" s="136" t="s">
        <v>170</v>
      </c>
      <c r="B179" s="129" t="s">
        <v>171</v>
      </c>
      <c r="C179" s="114"/>
      <c r="D179" s="114"/>
      <c r="E179" s="153">
        <f>E180</f>
        <v>5900</v>
      </c>
    </row>
    <row r="180" spans="1:5" s="111" customFormat="1" ht="12.75">
      <c r="A180" s="136"/>
      <c r="B180" s="129" t="s">
        <v>262</v>
      </c>
      <c r="C180" s="153">
        <v>5900</v>
      </c>
      <c r="D180" s="114">
        <v>100</v>
      </c>
      <c r="E180" s="153">
        <f>C180*D180%</f>
        <v>5900</v>
      </c>
    </row>
    <row r="181" spans="1:5" s="111" customFormat="1" ht="12.75">
      <c r="A181" s="115" t="s">
        <v>174</v>
      </c>
      <c r="B181" s="129" t="s">
        <v>172</v>
      </c>
      <c r="C181" s="114"/>
      <c r="D181" s="114"/>
      <c r="E181" s="153"/>
    </row>
    <row r="182" spans="1:5" s="111" customFormat="1" ht="12.75">
      <c r="A182" s="119"/>
      <c r="B182" s="137" t="s">
        <v>173</v>
      </c>
      <c r="C182" s="114"/>
      <c r="D182" s="114"/>
      <c r="E182" s="153"/>
    </row>
    <row r="183" spans="1:5" s="111" customFormat="1" ht="12.75">
      <c r="A183" s="127"/>
      <c r="B183" s="186"/>
      <c r="C183" s="206"/>
      <c r="D183" s="138"/>
      <c r="E183" s="207"/>
    </row>
    <row r="184" spans="1:10" s="121" customFormat="1" ht="18" customHeight="1">
      <c r="A184" s="168"/>
      <c r="B184" s="168" t="s">
        <v>327</v>
      </c>
      <c r="C184" s="169"/>
      <c r="D184" s="159" t="s">
        <v>132</v>
      </c>
      <c r="E184" s="170">
        <f>E180+E182</f>
        <v>5900</v>
      </c>
      <c r="J184" s="174">
        <f>E170+E184+E196</f>
        <v>813699.99816</v>
      </c>
    </row>
    <row r="185" spans="1:5" s="111" customFormat="1" ht="8.25" customHeight="1">
      <c r="A185" s="133"/>
      <c r="B185" s="134"/>
      <c r="C185" s="134"/>
      <c r="D185" s="135"/>
      <c r="E185" s="134"/>
    </row>
    <row r="186" spans="1:10" s="112" customFormat="1" ht="17.25" customHeight="1">
      <c r="A186" s="600" t="s">
        <v>599</v>
      </c>
      <c r="B186" s="600"/>
      <c r="C186" s="373"/>
      <c r="D186" s="373"/>
      <c r="E186" s="373"/>
      <c r="F186" s="373"/>
      <c r="G186" s="373"/>
      <c r="H186" s="373"/>
      <c r="I186" s="373"/>
      <c r="J186" s="373"/>
    </row>
    <row r="187" spans="1:2" s="111" customFormat="1" ht="12.75" customHeight="1">
      <c r="A187" s="600" t="s">
        <v>369</v>
      </c>
      <c r="B187" s="600"/>
    </row>
    <row r="188" spans="1:9" s="112" customFormat="1" ht="17.25" customHeight="1">
      <c r="A188" s="600" t="s">
        <v>354</v>
      </c>
      <c r="B188" s="600"/>
      <c r="C188" s="600"/>
      <c r="D188" s="600"/>
      <c r="E188" s="600"/>
      <c r="F188" s="600"/>
      <c r="G188" s="600"/>
      <c r="H188" s="600"/>
      <c r="I188" s="600"/>
    </row>
    <row r="189" spans="1:9" s="111" customFormat="1" ht="12.75">
      <c r="A189" s="596" t="s">
        <v>600</v>
      </c>
      <c r="B189" s="596"/>
      <c r="C189" s="596"/>
      <c r="D189" s="596"/>
      <c r="E189" s="596"/>
      <c r="F189" s="596"/>
      <c r="G189" s="596"/>
      <c r="H189" s="596"/>
      <c r="I189" s="596"/>
    </row>
    <row r="190" spans="1:5" s="123" customFormat="1" ht="25.5">
      <c r="A190" s="139" t="s">
        <v>125</v>
      </c>
      <c r="B190" s="139" t="s">
        <v>122</v>
      </c>
      <c r="C190" s="139" t="s">
        <v>147</v>
      </c>
      <c r="D190" s="139" t="s">
        <v>148</v>
      </c>
      <c r="E190" s="140" t="s">
        <v>169</v>
      </c>
    </row>
    <row r="191" spans="1:5" s="123" customFormat="1" ht="12.75">
      <c r="A191" s="122">
        <v>1</v>
      </c>
      <c r="B191" s="122">
        <v>2</v>
      </c>
      <c r="C191" s="122">
        <v>3</v>
      </c>
      <c r="D191" s="122">
        <v>4</v>
      </c>
      <c r="E191" s="122">
        <v>5</v>
      </c>
    </row>
    <row r="192" spans="1:5" s="111" customFormat="1" ht="12.75">
      <c r="A192" s="616" t="s">
        <v>158</v>
      </c>
      <c r="B192" s="613"/>
      <c r="C192" s="138"/>
      <c r="D192" s="138"/>
      <c r="E192" s="153">
        <f>E194</f>
        <v>3850</v>
      </c>
    </row>
    <row r="193" spans="1:5" s="111" customFormat="1" ht="12.75">
      <c r="A193" s="136" t="s">
        <v>190</v>
      </c>
      <c r="B193" s="129" t="s">
        <v>171</v>
      </c>
      <c r="C193" s="114"/>
      <c r="D193" s="114"/>
      <c r="E193" s="153"/>
    </row>
    <row r="194" spans="1:5" s="245" customFormat="1" ht="25.5">
      <c r="A194" s="428" t="s">
        <v>191</v>
      </c>
      <c r="B194" s="429" t="s">
        <v>175</v>
      </c>
      <c r="C194" s="388">
        <v>3850</v>
      </c>
      <c r="D194" s="387">
        <v>100</v>
      </c>
      <c r="E194" s="388">
        <f>C194*D194%</f>
        <v>3850</v>
      </c>
    </row>
    <row r="195" spans="1:5" s="209" customFormat="1" ht="12.75">
      <c r="A195" s="142"/>
      <c r="B195" s="141"/>
      <c r="C195" s="183"/>
      <c r="D195" s="126"/>
      <c r="E195" s="183"/>
    </row>
    <row r="196" spans="1:10" s="121" customFormat="1" ht="18" customHeight="1">
      <c r="A196" s="168"/>
      <c r="B196" s="168" t="s">
        <v>327</v>
      </c>
      <c r="C196" s="169"/>
      <c r="D196" s="159" t="s">
        <v>132</v>
      </c>
      <c r="E196" s="170">
        <f>E194</f>
        <v>3850</v>
      </c>
      <c r="J196" s="174">
        <f>E196+E184+E170</f>
        <v>813699.99816</v>
      </c>
    </row>
    <row r="197" spans="1:5" s="121" customFormat="1" ht="3.75" customHeight="1">
      <c r="A197" s="179"/>
      <c r="B197" s="179"/>
      <c r="C197" s="224"/>
      <c r="D197" s="180"/>
      <c r="E197" s="181"/>
    </row>
    <row r="198" spans="1:9" s="112" customFormat="1" ht="17.25" customHeight="1" hidden="1">
      <c r="A198" s="600" t="s">
        <v>372</v>
      </c>
      <c r="B198" s="600"/>
      <c r="C198" s="640"/>
      <c r="D198" s="640"/>
      <c r="E198" s="640"/>
      <c r="F198" s="640"/>
      <c r="G198" s="640"/>
      <c r="H198" s="640"/>
      <c r="I198" s="640"/>
    </row>
    <row r="199" spans="1:2" s="111" customFormat="1" ht="12.75" customHeight="1" hidden="1">
      <c r="A199" s="600" t="s">
        <v>369</v>
      </c>
      <c r="B199" s="600"/>
    </row>
    <row r="200" spans="1:9" s="112" customFormat="1" ht="17.25" customHeight="1" hidden="1">
      <c r="A200" s="600" t="s">
        <v>354</v>
      </c>
      <c r="B200" s="600"/>
      <c r="C200" s="600"/>
      <c r="D200" s="600"/>
      <c r="E200" s="600"/>
      <c r="F200" s="600"/>
      <c r="G200" s="600"/>
      <c r="H200" s="600"/>
      <c r="I200" s="600"/>
    </row>
    <row r="201" spans="1:9" s="121" customFormat="1" ht="17.25" customHeight="1" hidden="1">
      <c r="A201" s="596" t="s">
        <v>582</v>
      </c>
      <c r="B201" s="596"/>
      <c r="C201" s="596"/>
      <c r="D201" s="596"/>
      <c r="E201" s="596"/>
      <c r="F201" s="596"/>
      <c r="G201" s="596"/>
      <c r="H201" s="596"/>
      <c r="I201" s="596"/>
    </row>
    <row r="202" spans="1:6" s="123" customFormat="1" ht="51" customHeight="1" hidden="1">
      <c r="A202" s="122" t="s">
        <v>125</v>
      </c>
      <c r="B202" s="122" t="s">
        <v>122</v>
      </c>
      <c r="C202" s="122" t="s">
        <v>373</v>
      </c>
      <c r="D202" s="122" t="s">
        <v>374</v>
      </c>
      <c r="E202" s="122" t="s">
        <v>139</v>
      </c>
      <c r="F202" s="124" t="s">
        <v>140</v>
      </c>
    </row>
    <row r="203" spans="1:6" s="123" customFormat="1" ht="12.75" hidden="1">
      <c r="A203" s="122">
        <v>1</v>
      </c>
      <c r="B203" s="122">
        <v>2</v>
      </c>
      <c r="C203" s="122">
        <v>3</v>
      </c>
      <c r="D203" s="122">
        <v>4</v>
      </c>
      <c r="E203" s="122">
        <v>5</v>
      </c>
      <c r="F203" s="122">
        <v>6</v>
      </c>
    </row>
    <row r="204" spans="1:6" s="111" customFormat="1" ht="12.75" hidden="1">
      <c r="A204" s="115">
        <v>1</v>
      </c>
      <c r="B204" s="129" t="s">
        <v>375</v>
      </c>
      <c r="C204" s="114"/>
      <c r="D204" s="114"/>
      <c r="E204" s="114"/>
      <c r="F204" s="114"/>
    </row>
    <row r="205" spans="1:6" s="111" customFormat="1" ht="12.75" hidden="1">
      <c r="A205" s="115"/>
      <c r="B205" s="116" t="s">
        <v>324</v>
      </c>
      <c r="C205" s="114" t="s">
        <v>132</v>
      </c>
      <c r="D205" s="114" t="s">
        <v>132</v>
      </c>
      <c r="E205" s="114" t="s">
        <v>132</v>
      </c>
      <c r="F205" s="203">
        <f>SUM(F204:F204)</f>
        <v>0</v>
      </c>
    </row>
    <row r="206" spans="1:6" s="111" customFormat="1" ht="12.75" hidden="1">
      <c r="A206" s="115">
        <v>1</v>
      </c>
      <c r="B206" s="129"/>
      <c r="C206" s="114"/>
      <c r="D206" s="114"/>
      <c r="E206" s="114"/>
      <c r="F206" s="205"/>
    </row>
    <row r="207" spans="1:6" s="111" customFormat="1" ht="18" customHeight="1" hidden="1">
      <c r="A207" s="115"/>
      <c r="B207" s="116" t="s">
        <v>325</v>
      </c>
      <c r="C207" s="114" t="s">
        <v>132</v>
      </c>
      <c r="D207" s="114" t="s">
        <v>132</v>
      </c>
      <c r="E207" s="114" t="s">
        <v>132</v>
      </c>
      <c r="F207" s="203">
        <f>SUM(F206:F206)</f>
        <v>0</v>
      </c>
    </row>
    <row r="208" spans="1:6" s="111" customFormat="1" ht="12.75" hidden="1">
      <c r="A208" s="115"/>
      <c r="B208" s="168" t="s">
        <v>327</v>
      </c>
      <c r="C208" s="114" t="s">
        <v>132</v>
      </c>
      <c r="D208" s="114" t="s">
        <v>132</v>
      </c>
      <c r="E208" s="114" t="s">
        <v>132</v>
      </c>
      <c r="F208" s="223">
        <f>F205+F207</f>
        <v>0</v>
      </c>
    </row>
    <row r="209" spans="1:5" s="121" customFormat="1" ht="18" customHeight="1" hidden="1">
      <c r="A209" s="179"/>
      <c r="B209" s="179"/>
      <c r="C209" s="224"/>
      <c r="D209" s="180"/>
      <c r="E209" s="181"/>
    </row>
    <row r="210" spans="1:9" s="111" customFormat="1" ht="17.25" customHeight="1" hidden="1">
      <c r="A210" s="623" t="s">
        <v>363</v>
      </c>
      <c r="B210" s="623"/>
      <c r="C210" s="623"/>
      <c r="D210" s="623"/>
      <c r="E210" s="623"/>
      <c r="F210" s="623"/>
      <c r="G210" s="623"/>
      <c r="H210" s="623"/>
      <c r="I210" s="623"/>
    </row>
    <row r="211" ht="12.75" hidden="1"/>
    <row r="212" spans="1:6" s="111" customFormat="1" ht="12.75" hidden="1">
      <c r="A212" s="133"/>
      <c r="B212" s="179"/>
      <c r="C212" s="135"/>
      <c r="D212" s="135"/>
      <c r="E212" s="135"/>
      <c r="F212" s="226"/>
    </row>
    <row r="213" spans="1:9" s="111" customFormat="1" ht="17.25" customHeight="1">
      <c r="A213" s="623" t="s">
        <v>601</v>
      </c>
      <c r="B213" s="623"/>
      <c r="C213" s="623"/>
      <c r="D213" s="623"/>
      <c r="E213" s="623"/>
      <c r="F213" s="623"/>
      <c r="G213" s="623"/>
      <c r="H213" s="623"/>
      <c r="I213" s="623"/>
    </row>
    <row r="214" spans="1:9" s="112" customFormat="1" ht="12.75" hidden="1">
      <c r="A214" s="600" t="s">
        <v>376</v>
      </c>
      <c r="B214" s="600"/>
      <c r="C214" s="640"/>
      <c r="D214" s="640"/>
      <c r="E214" s="640"/>
      <c r="F214" s="640"/>
      <c r="G214" s="640"/>
      <c r="H214" s="640"/>
      <c r="I214" s="640"/>
    </row>
    <row r="215" spans="1:9" s="112" customFormat="1" ht="17.25" customHeight="1" hidden="1">
      <c r="A215" s="600" t="s">
        <v>354</v>
      </c>
      <c r="B215" s="600"/>
      <c r="C215" s="600"/>
      <c r="D215" s="600"/>
      <c r="E215" s="600"/>
      <c r="F215" s="600"/>
      <c r="G215" s="600"/>
      <c r="H215" s="600"/>
      <c r="I215" s="600"/>
    </row>
    <row r="216" spans="1:9" s="121" customFormat="1" ht="15.75" customHeight="1" hidden="1">
      <c r="A216" s="596" t="s">
        <v>377</v>
      </c>
      <c r="B216" s="596"/>
      <c r="C216" s="596"/>
      <c r="D216" s="596"/>
      <c r="E216" s="596"/>
      <c r="F216" s="596"/>
      <c r="G216" s="596"/>
      <c r="H216" s="596"/>
      <c r="I216" s="596"/>
    </row>
    <row r="217" spans="1:2" s="111" customFormat="1" ht="12.75" hidden="1">
      <c r="A217" s="600" t="s">
        <v>378</v>
      </c>
      <c r="B217" s="600"/>
    </row>
    <row r="218" spans="1:5" s="123" customFormat="1" ht="25.5" hidden="1">
      <c r="A218" s="122" t="s">
        <v>125</v>
      </c>
      <c r="B218" s="122" t="s">
        <v>122</v>
      </c>
      <c r="C218" s="122" t="s">
        <v>196</v>
      </c>
      <c r="D218" s="122" t="s">
        <v>156</v>
      </c>
      <c r="E218" s="124" t="s">
        <v>154</v>
      </c>
    </row>
    <row r="219" spans="1:5" s="123" customFormat="1" ht="12.75" hidden="1">
      <c r="A219" s="122">
        <v>1</v>
      </c>
      <c r="B219" s="122">
        <v>2</v>
      </c>
      <c r="C219" s="122">
        <v>3</v>
      </c>
      <c r="D219" s="122">
        <v>4</v>
      </c>
      <c r="E219" s="122">
        <v>5</v>
      </c>
    </row>
    <row r="220" spans="1:5" s="111" customFormat="1" ht="12.75" hidden="1">
      <c r="A220" s="115">
        <v>1</v>
      </c>
      <c r="B220" s="129"/>
      <c r="C220" s="114"/>
      <c r="D220" s="114"/>
      <c r="E220" s="205"/>
    </row>
    <row r="221" spans="1:5" s="111" customFormat="1" ht="12.75" hidden="1">
      <c r="A221" s="119">
        <v>2</v>
      </c>
      <c r="B221" s="137"/>
      <c r="C221" s="114"/>
      <c r="D221" s="114"/>
      <c r="E221" s="205"/>
    </row>
    <row r="222" spans="1:5" s="111" customFormat="1" ht="12.75" hidden="1">
      <c r="A222" s="127"/>
      <c r="B222" s="186"/>
      <c r="C222" s="113"/>
      <c r="D222" s="114"/>
      <c r="E222" s="205"/>
    </row>
    <row r="223" spans="1:5" s="111" customFormat="1" ht="14.25" customHeight="1" hidden="1">
      <c r="A223" s="668" t="s">
        <v>158</v>
      </c>
      <c r="B223" s="669"/>
      <c r="C223" s="205">
        <f>SUM(C220:C221)</f>
        <v>0</v>
      </c>
      <c r="D223" s="114" t="s">
        <v>132</v>
      </c>
      <c r="E223" s="205">
        <f>SUM(E220:E221)</f>
        <v>0</v>
      </c>
    </row>
    <row r="224" spans="1:5" s="111" customFormat="1" ht="12.75" hidden="1">
      <c r="A224" s="115">
        <v>1</v>
      </c>
      <c r="B224" s="129"/>
      <c r="C224" s="114"/>
      <c r="D224" s="114"/>
      <c r="E224" s="205"/>
    </row>
    <row r="225" spans="1:5" s="111" customFormat="1" ht="12.75" hidden="1">
      <c r="A225" s="115">
        <v>2</v>
      </c>
      <c r="B225" s="129"/>
      <c r="C225" s="114"/>
      <c r="D225" s="114"/>
      <c r="E225" s="205"/>
    </row>
    <row r="226" spans="1:5" s="111" customFormat="1" ht="12.75" hidden="1">
      <c r="A226" s="115" t="s">
        <v>328</v>
      </c>
      <c r="B226" s="129"/>
      <c r="C226" s="113"/>
      <c r="D226" s="114"/>
      <c r="E226" s="205"/>
    </row>
    <row r="227" spans="1:5" s="111" customFormat="1" ht="14.25" customHeight="1" hidden="1">
      <c r="A227" s="616" t="s">
        <v>329</v>
      </c>
      <c r="B227" s="643"/>
      <c r="C227" s="205">
        <f>SUM(C224:C225)</f>
        <v>0</v>
      </c>
      <c r="D227" s="114" t="s">
        <v>132</v>
      </c>
      <c r="E227" s="205">
        <f>SUM(E224:E225)</f>
        <v>0</v>
      </c>
    </row>
    <row r="228" spans="1:5" s="111" customFormat="1" ht="12.75" hidden="1">
      <c r="A228" s="598" t="s">
        <v>327</v>
      </c>
      <c r="B228" s="599"/>
      <c r="C228" s="114" t="s">
        <v>132</v>
      </c>
      <c r="D228" s="114" t="s">
        <v>132</v>
      </c>
      <c r="E228" s="223">
        <f>E223+E227</f>
        <v>0</v>
      </c>
    </row>
    <row r="229" spans="1:5" s="111" customFormat="1" ht="12.75" hidden="1">
      <c r="A229" s="179"/>
      <c r="B229" s="179"/>
      <c r="C229" s="135"/>
      <c r="D229" s="135"/>
      <c r="E229" s="226"/>
    </row>
    <row r="230" spans="1:9" s="112" customFormat="1" ht="12.75">
      <c r="A230" s="600" t="s">
        <v>379</v>
      </c>
      <c r="B230" s="600"/>
      <c r="C230" s="640"/>
      <c r="D230" s="640"/>
      <c r="E230" s="640"/>
      <c r="F230" s="640"/>
      <c r="G230" s="640"/>
      <c r="H230" s="640"/>
      <c r="I230" s="640"/>
    </row>
    <row r="231" spans="1:9" s="112" customFormat="1" ht="12.75">
      <c r="A231" s="600" t="s">
        <v>354</v>
      </c>
      <c r="B231" s="600"/>
      <c r="C231" s="600"/>
      <c r="D231" s="600"/>
      <c r="E231" s="600"/>
      <c r="F231" s="600"/>
      <c r="G231" s="600"/>
      <c r="H231" s="600"/>
      <c r="I231" s="600"/>
    </row>
    <row r="232" spans="1:9" s="121" customFormat="1" ht="14.25" customHeight="1">
      <c r="A232" s="596" t="s">
        <v>602</v>
      </c>
      <c r="B232" s="596"/>
      <c r="C232" s="596"/>
      <c r="D232" s="596"/>
      <c r="E232" s="596"/>
      <c r="F232" s="596"/>
      <c r="G232" s="596"/>
      <c r="H232" s="596"/>
      <c r="I232" s="596"/>
    </row>
    <row r="233" spans="1:2" s="111" customFormat="1" ht="12.75" customHeight="1">
      <c r="A233" s="600" t="s">
        <v>381</v>
      </c>
      <c r="B233" s="600"/>
    </row>
    <row r="234" spans="1:7" s="123" customFormat="1" ht="38.25">
      <c r="A234" s="122" t="s">
        <v>125</v>
      </c>
      <c r="B234" s="122" t="s">
        <v>122</v>
      </c>
      <c r="C234" s="122" t="s">
        <v>415</v>
      </c>
      <c r="D234" s="122" t="s">
        <v>416</v>
      </c>
      <c r="E234" s="122" t="s">
        <v>195</v>
      </c>
      <c r="F234" s="122" t="s">
        <v>151</v>
      </c>
      <c r="G234" s="265" t="s">
        <v>417</v>
      </c>
    </row>
    <row r="235" spans="1:7" s="111" customFormat="1" ht="12.75">
      <c r="A235" s="115">
        <v>1</v>
      </c>
      <c r="B235" s="114">
        <v>2</v>
      </c>
      <c r="C235" s="114">
        <v>3</v>
      </c>
      <c r="D235" s="172">
        <v>4</v>
      </c>
      <c r="E235" s="114">
        <v>5</v>
      </c>
      <c r="F235" s="146">
        <v>6</v>
      </c>
      <c r="G235" s="232">
        <v>7</v>
      </c>
    </row>
    <row r="236" spans="1:7" s="245" customFormat="1" ht="25.5">
      <c r="A236" s="246">
        <v>1</v>
      </c>
      <c r="B236" s="257" t="s">
        <v>210</v>
      </c>
      <c r="C236" s="268">
        <v>6</v>
      </c>
      <c r="D236" s="269" t="s">
        <v>418</v>
      </c>
      <c r="E236" s="270">
        <v>12</v>
      </c>
      <c r="F236" s="271">
        <v>259.6</v>
      </c>
      <c r="G236" s="273">
        <f>C236*E236*F236</f>
        <v>18691.2</v>
      </c>
    </row>
    <row r="237" spans="1:7" s="245" customFormat="1" ht="24.75" customHeight="1">
      <c r="A237" s="246">
        <v>2</v>
      </c>
      <c r="B237" s="257" t="s">
        <v>211</v>
      </c>
      <c r="C237" s="268">
        <f>4900-38</f>
        <v>4862</v>
      </c>
      <c r="D237" s="269" t="s">
        <v>419</v>
      </c>
      <c r="E237" s="270">
        <v>12</v>
      </c>
      <c r="F237" s="271">
        <v>0.7</v>
      </c>
      <c r="G237" s="273">
        <f>C237*E237*F237+2</f>
        <v>40842.799999999996</v>
      </c>
    </row>
    <row r="238" spans="1:7" s="245" customFormat="1" ht="63.75">
      <c r="A238" s="246">
        <v>3</v>
      </c>
      <c r="B238" s="257" t="s">
        <v>212</v>
      </c>
      <c r="C238" s="268">
        <v>1</v>
      </c>
      <c r="D238" s="269" t="s">
        <v>418</v>
      </c>
      <c r="E238" s="270">
        <v>1</v>
      </c>
      <c r="F238" s="271">
        <v>1606</v>
      </c>
      <c r="G238" s="273">
        <f>C238*E238*F238</f>
        <v>1606</v>
      </c>
    </row>
    <row r="239" spans="1:7" s="245" customFormat="1" ht="12.75">
      <c r="A239" s="246">
        <v>4</v>
      </c>
      <c r="B239" s="257" t="s">
        <v>214</v>
      </c>
      <c r="C239" s="268">
        <v>1</v>
      </c>
      <c r="D239" s="269" t="s">
        <v>418</v>
      </c>
      <c r="E239" s="270">
        <v>12</v>
      </c>
      <c r="F239" s="271">
        <v>55</v>
      </c>
      <c r="G239" s="273">
        <f>C239*E239*F239</f>
        <v>660</v>
      </c>
    </row>
    <row r="240" spans="1:7" s="245" customFormat="1" ht="25.5" customHeight="1">
      <c r="A240" s="246">
        <v>5</v>
      </c>
      <c r="B240" s="257" t="s">
        <v>213</v>
      </c>
      <c r="C240" s="268">
        <v>2</v>
      </c>
      <c r="D240" s="269" t="s">
        <v>603</v>
      </c>
      <c r="E240" s="270">
        <v>12</v>
      </c>
      <c r="F240" s="271">
        <v>1600</v>
      </c>
      <c r="G240" s="273">
        <f>C240*E240*F240</f>
        <v>38400</v>
      </c>
    </row>
    <row r="241" spans="1:7" s="245" customFormat="1" ht="25.5">
      <c r="A241" s="246">
        <v>6</v>
      </c>
      <c r="B241" s="257" t="s">
        <v>213</v>
      </c>
      <c r="C241" s="268">
        <v>1</v>
      </c>
      <c r="D241" s="269" t="s">
        <v>603</v>
      </c>
      <c r="E241" s="270">
        <v>12</v>
      </c>
      <c r="F241" s="271">
        <v>1650</v>
      </c>
      <c r="G241" s="273">
        <f>C241*E241*F241</f>
        <v>19800</v>
      </c>
    </row>
    <row r="242" spans="1:7" s="245" customFormat="1" ht="12.75" customHeight="1">
      <c r="A242" s="668" t="s">
        <v>158</v>
      </c>
      <c r="B242" s="669"/>
      <c r="C242" s="249"/>
      <c r="D242" s="272"/>
      <c r="E242" s="249"/>
      <c r="F242" s="271"/>
      <c r="G242" s="276">
        <f>SUM(G236:G241)</f>
        <v>120000</v>
      </c>
    </row>
    <row r="243" spans="1:7" s="111" customFormat="1" ht="12.75">
      <c r="A243" s="115">
        <v>1</v>
      </c>
      <c r="B243" s="129"/>
      <c r="C243" s="114"/>
      <c r="D243" s="114"/>
      <c r="E243" s="114"/>
      <c r="F243" s="146"/>
      <c r="G243" s="208"/>
    </row>
    <row r="244" spans="1:7" s="111" customFormat="1" ht="12.75">
      <c r="A244" s="115">
        <v>2</v>
      </c>
      <c r="B244" s="129"/>
      <c r="C244" s="114"/>
      <c r="D244" s="114"/>
      <c r="E244" s="114"/>
      <c r="F244" s="146"/>
      <c r="G244" s="208"/>
    </row>
    <row r="245" spans="1:7" s="111" customFormat="1" ht="12.75" customHeight="1">
      <c r="A245" s="616" t="s">
        <v>329</v>
      </c>
      <c r="B245" s="643"/>
      <c r="C245" s="114"/>
      <c r="D245" s="114"/>
      <c r="E245" s="114"/>
      <c r="F245" s="231"/>
      <c r="G245" s="274">
        <f>SUM(G243:G244)</f>
        <v>0</v>
      </c>
    </row>
    <row r="246" spans="1:7" s="111" customFormat="1" ht="14.25" customHeight="1">
      <c r="A246" s="598" t="s">
        <v>327</v>
      </c>
      <c r="B246" s="599"/>
      <c r="C246" s="114" t="s">
        <v>132</v>
      </c>
      <c r="D246" s="114" t="s">
        <v>132</v>
      </c>
      <c r="E246" s="114" t="s">
        <v>132</v>
      </c>
      <c r="F246" s="267"/>
      <c r="G246" s="275">
        <f>G242+G245</f>
        <v>120000</v>
      </c>
    </row>
    <row r="247" spans="1:9" s="121" customFormat="1" ht="12.75" hidden="1">
      <c r="A247" s="596" t="s">
        <v>382</v>
      </c>
      <c r="B247" s="596"/>
      <c r="C247" s="596"/>
      <c r="D247" s="596"/>
      <c r="E247" s="596"/>
      <c r="F247" s="596"/>
      <c r="G247" s="596"/>
      <c r="H247" s="596"/>
      <c r="I247" s="596"/>
    </row>
    <row r="248" spans="1:9" s="111" customFormat="1" ht="12.75" hidden="1">
      <c r="A248" s="600" t="s">
        <v>383</v>
      </c>
      <c r="B248" s="600"/>
      <c r="C248" s="117"/>
      <c r="D248" s="117"/>
      <c r="E248" s="117"/>
      <c r="F248" s="117"/>
      <c r="G248" s="117"/>
      <c r="H248" s="117"/>
      <c r="I248" s="117"/>
    </row>
    <row r="249" spans="1:5" s="123" customFormat="1" ht="25.5" hidden="1">
      <c r="A249" s="122" t="s">
        <v>125</v>
      </c>
      <c r="B249" s="122" t="s">
        <v>122</v>
      </c>
      <c r="C249" s="122" t="s">
        <v>152</v>
      </c>
      <c r="D249" s="122" t="s">
        <v>153</v>
      </c>
      <c r="E249" s="122" t="s">
        <v>154</v>
      </c>
    </row>
    <row r="250" spans="1:5" s="111" customFormat="1" ht="12.75" hidden="1">
      <c r="A250" s="114">
        <v>1</v>
      </c>
      <c r="B250" s="114">
        <v>2</v>
      </c>
      <c r="C250" s="114">
        <v>3</v>
      </c>
      <c r="D250" s="114">
        <v>4</v>
      </c>
      <c r="E250" s="114">
        <v>5</v>
      </c>
    </row>
    <row r="251" spans="1:5" s="111" customFormat="1" ht="12.75" hidden="1">
      <c r="A251" s="115">
        <v>1</v>
      </c>
      <c r="B251" s="129"/>
      <c r="C251" s="114"/>
      <c r="D251" s="114"/>
      <c r="E251" s="114"/>
    </row>
    <row r="252" spans="1:5" s="111" customFormat="1" ht="12.75" hidden="1">
      <c r="A252" s="115">
        <v>2</v>
      </c>
      <c r="B252" s="129"/>
      <c r="C252" s="114"/>
      <c r="D252" s="114"/>
      <c r="E252" s="114"/>
    </row>
    <row r="253" spans="1:5" s="111" customFormat="1" ht="14.25" customHeight="1" hidden="1">
      <c r="A253" s="616" t="s">
        <v>158</v>
      </c>
      <c r="B253" s="613"/>
      <c r="C253" s="205">
        <f>SUM(C251:C252)</f>
        <v>0</v>
      </c>
      <c r="D253" s="114" t="s">
        <v>132</v>
      </c>
      <c r="E253" s="205">
        <f>SUM(E251:E252)</f>
        <v>0</v>
      </c>
    </row>
    <row r="254" spans="1:5" s="111" customFormat="1" ht="12.75" hidden="1">
      <c r="A254" s="115">
        <v>1</v>
      </c>
      <c r="B254" s="129"/>
      <c r="C254" s="114"/>
      <c r="D254" s="114"/>
      <c r="E254" s="205"/>
    </row>
    <row r="255" spans="1:5" s="111" customFormat="1" ht="12.75" hidden="1">
      <c r="A255" s="115">
        <v>2</v>
      </c>
      <c r="B255" s="129"/>
      <c r="C255" s="114"/>
      <c r="D255" s="114"/>
      <c r="E255" s="205"/>
    </row>
    <row r="256" spans="1:5" s="111" customFormat="1" ht="14.25" customHeight="1" hidden="1">
      <c r="A256" s="616" t="s">
        <v>329</v>
      </c>
      <c r="B256" s="643"/>
      <c r="C256" s="205">
        <f>SUM(C254:C255)</f>
        <v>0</v>
      </c>
      <c r="D256" s="114" t="s">
        <v>132</v>
      </c>
      <c r="E256" s="205">
        <f>SUM(E254:E255)</f>
        <v>0</v>
      </c>
    </row>
    <row r="257" spans="1:5" s="111" customFormat="1" ht="12.75" hidden="1">
      <c r="A257" s="598" t="s">
        <v>327</v>
      </c>
      <c r="B257" s="599"/>
      <c r="C257" s="116"/>
      <c r="D257" s="116"/>
      <c r="E257" s="223">
        <f>E253+E256</f>
        <v>0</v>
      </c>
    </row>
    <row r="258" s="111" customFormat="1" ht="12.75" hidden="1">
      <c r="A258" s="108"/>
    </row>
    <row r="259" spans="1:7" s="111" customFormat="1" ht="7.5" customHeight="1">
      <c r="A259" s="108"/>
      <c r="F259" s="435"/>
      <c r="G259" s="436"/>
    </row>
    <row r="260" spans="1:9" s="121" customFormat="1" ht="17.25" customHeight="1">
      <c r="A260" s="596" t="s">
        <v>604</v>
      </c>
      <c r="B260" s="596"/>
      <c r="C260" s="596"/>
      <c r="D260" s="596"/>
      <c r="E260" s="596"/>
      <c r="F260" s="596"/>
      <c r="G260" s="596"/>
      <c r="H260" s="596"/>
      <c r="I260" s="596"/>
    </row>
    <row r="261" spans="1:2" s="111" customFormat="1" ht="12.75">
      <c r="A261" s="600" t="s">
        <v>385</v>
      </c>
      <c r="B261" s="600"/>
    </row>
    <row r="262" spans="1:9" s="123" customFormat="1" ht="51">
      <c r="A262" s="122" t="s">
        <v>125</v>
      </c>
      <c r="B262" s="122" t="s">
        <v>1</v>
      </c>
      <c r="C262" s="140" t="s">
        <v>749</v>
      </c>
      <c r="D262" s="139" t="s">
        <v>728</v>
      </c>
      <c r="E262" s="124" t="s">
        <v>193</v>
      </c>
      <c r="F262" s="210" t="s">
        <v>154</v>
      </c>
      <c r="G262" s="277" t="s">
        <v>332</v>
      </c>
      <c r="H262" s="211" t="s">
        <v>420</v>
      </c>
      <c r="I262" s="283"/>
    </row>
    <row r="263" spans="1:9" s="123" customFormat="1" ht="12.75">
      <c r="A263" s="122">
        <v>1</v>
      </c>
      <c r="B263" s="122">
        <v>2</v>
      </c>
      <c r="C263" s="139">
        <v>3</v>
      </c>
      <c r="D263" s="148">
        <v>4</v>
      </c>
      <c r="E263" s="122">
        <v>5</v>
      </c>
      <c r="F263" s="147">
        <v>6</v>
      </c>
      <c r="G263" s="278">
        <v>7</v>
      </c>
      <c r="H263" s="148">
        <v>8</v>
      </c>
      <c r="I263" s="284"/>
    </row>
    <row r="264" spans="1:9" s="111" customFormat="1" ht="12.75">
      <c r="A264" s="168">
        <v>1</v>
      </c>
      <c r="B264" s="187" t="s">
        <v>194</v>
      </c>
      <c r="C264" s="173" t="s">
        <v>132</v>
      </c>
      <c r="D264" s="173" t="s">
        <v>132</v>
      </c>
      <c r="E264" s="159" t="s">
        <v>132</v>
      </c>
      <c r="F264" s="159" t="s">
        <v>132</v>
      </c>
      <c r="G264" s="279" t="s">
        <v>132</v>
      </c>
      <c r="H264" s="173" t="s">
        <v>132</v>
      </c>
      <c r="I264" s="180"/>
    </row>
    <row r="265" spans="1:9" s="111" customFormat="1" ht="12.75">
      <c r="A265" s="115"/>
      <c r="B265" s="212" t="s">
        <v>334</v>
      </c>
      <c r="C265" s="478">
        <f>7350+6300</f>
        <v>13650</v>
      </c>
      <c r="D265" s="478">
        <v>12525</v>
      </c>
      <c r="E265" s="114">
        <v>6.17</v>
      </c>
      <c r="F265" s="153">
        <f>C265*E265</f>
        <v>84220.5</v>
      </c>
      <c r="G265" s="280">
        <f>F265-H265</f>
        <v>55720.5</v>
      </c>
      <c r="H265" s="183">
        <v>28500</v>
      </c>
      <c r="I265" s="209"/>
    </row>
    <row r="266" spans="1:9" s="111" customFormat="1" ht="12.75">
      <c r="A266" s="115"/>
      <c r="B266" s="212" t="s">
        <v>335</v>
      </c>
      <c r="C266" s="478">
        <f>6400+5700</f>
        <v>12100</v>
      </c>
      <c r="D266" s="478">
        <v>11745</v>
      </c>
      <c r="E266" s="114">
        <v>6.17</v>
      </c>
      <c r="F266" s="153">
        <f aca="true" t="shared" si="15" ref="F266:F274">C266*E266</f>
        <v>74657</v>
      </c>
      <c r="G266" s="280">
        <f>F266-H266</f>
        <v>46157</v>
      </c>
      <c r="H266" s="183">
        <v>28500</v>
      </c>
      <c r="I266" s="209"/>
    </row>
    <row r="267" spans="1:9" s="111" customFormat="1" ht="12.75">
      <c r="A267" s="115"/>
      <c r="B267" s="212" t="s">
        <v>336</v>
      </c>
      <c r="C267" s="478">
        <f>6350+5500+400</f>
        <v>12250</v>
      </c>
      <c r="D267" s="478">
        <v>11694</v>
      </c>
      <c r="E267" s="114">
        <v>6.17</v>
      </c>
      <c r="F267" s="153">
        <f t="shared" si="15"/>
        <v>75582.5</v>
      </c>
      <c r="G267" s="280">
        <f>F267-H267</f>
        <v>47082.5</v>
      </c>
      <c r="H267" s="183">
        <v>28500</v>
      </c>
      <c r="I267" s="209"/>
    </row>
    <row r="268" spans="1:9" s="121" customFormat="1" ht="13.5">
      <c r="A268" s="168"/>
      <c r="B268" s="213" t="s">
        <v>337</v>
      </c>
      <c r="C268" s="479">
        <f>SUM(C265:C267)</f>
        <v>38000</v>
      </c>
      <c r="D268" s="479">
        <f>SUM(D265:D267)</f>
        <v>35964</v>
      </c>
      <c r="E268" s="159" t="s">
        <v>132</v>
      </c>
      <c r="F268" s="170">
        <f>SUM(F265:F267)</f>
        <v>234460</v>
      </c>
      <c r="G268" s="267">
        <f>SUM(G265:G267)</f>
        <v>148960</v>
      </c>
      <c r="H268" s="275">
        <f>SUM(H265:H267)</f>
        <v>85500</v>
      </c>
      <c r="I268" s="285"/>
    </row>
    <row r="269" spans="1:9" s="111" customFormat="1" ht="12.75">
      <c r="A269" s="115"/>
      <c r="B269" s="212" t="s">
        <v>338</v>
      </c>
      <c r="C269" s="478">
        <v>10900</v>
      </c>
      <c r="D269" s="478">
        <v>12307</v>
      </c>
      <c r="E269" s="114">
        <v>6.17</v>
      </c>
      <c r="F269" s="153">
        <f t="shared" si="15"/>
        <v>67253</v>
      </c>
      <c r="G269" s="280">
        <f>F269-H269</f>
        <v>38753</v>
      </c>
      <c r="H269" s="183">
        <v>28500</v>
      </c>
      <c r="I269" s="209"/>
    </row>
    <row r="270" spans="1:9" s="111" customFormat="1" ht="12.75">
      <c r="A270" s="115"/>
      <c r="B270" s="212" t="s">
        <v>339</v>
      </c>
      <c r="C270" s="478">
        <v>10900</v>
      </c>
      <c r="D270" s="478">
        <v>11364</v>
      </c>
      <c r="E270" s="114">
        <v>6.17</v>
      </c>
      <c r="F270" s="153">
        <f t="shared" si="15"/>
        <v>67253</v>
      </c>
      <c r="G270" s="280">
        <f>F270-H270</f>
        <v>38753</v>
      </c>
      <c r="H270" s="183">
        <v>28500</v>
      </c>
      <c r="I270" s="209"/>
    </row>
    <row r="271" spans="1:9" s="111" customFormat="1" ht="12.75">
      <c r="A271" s="115"/>
      <c r="B271" s="212" t="s">
        <v>340</v>
      </c>
      <c r="C271" s="478">
        <v>10200</v>
      </c>
      <c r="D271" s="478">
        <v>12546</v>
      </c>
      <c r="E271" s="114">
        <v>6.17</v>
      </c>
      <c r="F271" s="153">
        <f t="shared" si="15"/>
        <v>62934</v>
      </c>
      <c r="G271" s="280">
        <f>F271-H271</f>
        <v>34434</v>
      </c>
      <c r="H271" s="183">
        <v>28500</v>
      </c>
      <c r="I271" s="209"/>
    </row>
    <row r="272" spans="1:9" s="121" customFormat="1" ht="13.5">
      <c r="A272" s="168"/>
      <c r="B272" s="213" t="s">
        <v>341</v>
      </c>
      <c r="C272" s="479">
        <f>SUM(C269:C271)</f>
        <v>32000</v>
      </c>
      <c r="D272" s="479">
        <f>SUM(D269:D271)</f>
        <v>36217</v>
      </c>
      <c r="E272" s="159" t="s">
        <v>132</v>
      </c>
      <c r="F272" s="170">
        <f>SUM(F269:F271)</f>
        <v>197440</v>
      </c>
      <c r="G272" s="267">
        <f>SUM(G269:G271)</f>
        <v>111940</v>
      </c>
      <c r="H272" s="275">
        <f>SUM(H269:H271)</f>
        <v>85500</v>
      </c>
      <c r="I272" s="286"/>
    </row>
    <row r="273" spans="1:9" s="111" customFormat="1" ht="12.75">
      <c r="A273" s="115"/>
      <c r="B273" s="212" t="s">
        <v>342</v>
      </c>
      <c r="C273" s="478">
        <v>10000</v>
      </c>
      <c r="D273" s="478">
        <v>11274</v>
      </c>
      <c r="E273" s="114">
        <v>6.17</v>
      </c>
      <c r="F273" s="153">
        <f t="shared" si="15"/>
        <v>61700</v>
      </c>
      <c r="G273" s="280">
        <f>F273-H273</f>
        <v>33200</v>
      </c>
      <c r="H273" s="183">
        <v>28500</v>
      </c>
      <c r="I273" s="209"/>
    </row>
    <row r="274" spans="1:9" s="111" customFormat="1" ht="12.75">
      <c r="A274" s="115"/>
      <c r="B274" s="212" t="s">
        <v>343</v>
      </c>
      <c r="C274" s="478">
        <v>10000</v>
      </c>
      <c r="D274" s="478">
        <v>10154</v>
      </c>
      <c r="E274" s="114">
        <v>6.17</v>
      </c>
      <c r="F274" s="153">
        <f t="shared" si="15"/>
        <v>61700</v>
      </c>
      <c r="G274" s="280">
        <f>F274-H274</f>
        <v>33200</v>
      </c>
      <c r="H274" s="183">
        <v>28500</v>
      </c>
      <c r="I274" s="209"/>
    </row>
    <row r="275" spans="1:9" s="111" customFormat="1" ht="12.75">
      <c r="A275" s="115"/>
      <c r="B275" s="212" t="s">
        <v>344</v>
      </c>
      <c r="C275" s="478">
        <v>10000</v>
      </c>
      <c r="D275" s="478">
        <v>10274</v>
      </c>
      <c r="E275" s="114">
        <v>6.17</v>
      </c>
      <c r="F275" s="153">
        <f>C275*E275</f>
        <v>61700</v>
      </c>
      <c r="G275" s="280">
        <f>F275-H275</f>
        <v>33200</v>
      </c>
      <c r="H275" s="183">
        <v>28500</v>
      </c>
      <c r="I275" s="209"/>
    </row>
    <row r="276" spans="1:9" s="121" customFormat="1" ht="13.5">
      <c r="A276" s="168"/>
      <c r="B276" s="213" t="s">
        <v>341</v>
      </c>
      <c r="C276" s="479">
        <f>SUM(C273:C275)</f>
        <v>30000</v>
      </c>
      <c r="D276" s="479">
        <f>D273+D274+D275</f>
        <v>31702</v>
      </c>
      <c r="E276" s="159" t="s">
        <v>132</v>
      </c>
      <c r="F276" s="170">
        <f>SUM(F273:F275)</f>
        <v>185100</v>
      </c>
      <c r="G276" s="267">
        <f>G273+G274+G275</f>
        <v>99600</v>
      </c>
      <c r="H276" s="275">
        <f>H273+H274+H275</f>
        <v>85500</v>
      </c>
      <c r="I276" s="285"/>
    </row>
    <row r="277" spans="1:9" s="111" customFormat="1" ht="12.75">
      <c r="A277" s="184"/>
      <c r="B277" s="212" t="s">
        <v>345</v>
      </c>
      <c r="C277" s="478">
        <v>11850</v>
      </c>
      <c r="D277" s="478">
        <v>14590</v>
      </c>
      <c r="E277" s="114">
        <v>6.17</v>
      </c>
      <c r="F277" s="153">
        <f>C277*E277</f>
        <v>73114.5</v>
      </c>
      <c r="G277" s="280">
        <f>F277-H277</f>
        <v>44614.5</v>
      </c>
      <c r="H277" s="183">
        <v>28500</v>
      </c>
      <c r="I277" s="209"/>
    </row>
    <row r="278" spans="1:9" s="111" customFormat="1" ht="12.75">
      <c r="A278" s="184"/>
      <c r="B278" s="212" t="s">
        <v>346</v>
      </c>
      <c r="C278" s="478">
        <v>12700</v>
      </c>
      <c r="D278" s="478">
        <v>11485</v>
      </c>
      <c r="E278" s="114">
        <v>6.17</v>
      </c>
      <c r="F278" s="153">
        <f>C278*E278</f>
        <v>78359</v>
      </c>
      <c r="G278" s="280">
        <f>F278-H278</f>
        <v>49859</v>
      </c>
      <c r="H278" s="183">
        <v>28500</v>
      </c>
      <c r="I278" s="209"/>
    </row>
    <row r="279" spans="1:9" s="111" customFormat="1" ht="12.75">
      <c r="A279" s="184"/>
      <c r="B279" s="212" t="s">
        <v>347</v>
      </c>
      <c r="C279" s="478">
        <f>12750-1300</f>
        <v>11450</v>
      </c>
      <c r="D279" s="478">
        <v>12432</v>
      </c>
      <c r="E279" s="114">
        <v>6.17</v>
      </c>
      <c r="F279" s="153">
        <f>C279*E279</f>
        <v>70646.5</v>
      </c>
      <c r="G279" s="280">
        <f>F279-H279-20</f>
        <v>42126.5</v>
      </c>
      <c r="H279" s="183">
        <v>28500</v>
      </c>
      <c r="I279" s="209"/>
    </row>
    <row r="280" spans="1:9" s="121" customFormat="1" ht="13.5">
      <c r="A280" s="168"/>
      <c r="B280" s="213" t="s">
        <v>348</v>
      </c>
      <c r="C280" s="479">
        <f>SUM(C277:C279)</f>
        <v>36000</v>
      </c>
      <c r="D280" s="479">
        <f>D277+D278+D279</f>
        <v>38507</v>
      </c>
      <c r="E280" s="159" t="s">
        <v>132</v>
      </c>
      <c r="F280" s="170">
        <f>SUM(F277:F279)</f>
        <v>222120</v>
      </c>
      <c r="G280" s="267">
        <f>G277+G278+G279</f>
        <v>136600</v>
      </c>
      <c r="H280" s="275">
        <f>H277+H278+H279</f>
        <v>85500</v>
      </c>
      <c r="I280" s="286"/>
    </row>
    <row r="281" spans="1:9" s="111" customFormat="1" ht="13.5">
      <c r="A281" s="115"/>
      <c r="B281" s="217" t="s">
        <v>349</v>
      </c>
      <c r="C281" s="480">
        <f>C268+C272+C276+C280</f>
        <v>136000</v>
      </c>
      <c r="D281" s="480">
        <f>D268+D272+D276+D280</f>
        <v>142390</v>
      </c>
      <c r="E281" s="159" t="s">
        <v>132</v>
      </c>
      <c r="F281" s="170">
        <f>F268+F272+F276+F280</f>
        <v>839120</v>
      </c>
      <c r="G281" s="267">
        <f>G268+G272+G276+G280</f>
        <v>497100</v>
      </c>
      <c r="H281" s="275">
        <f>H268+H272+H276+H280</f>
        <v>342000</v>
      </c>
      <c r="I281" s="286"/>
    </row>
    <row r="282" spans="1:9" s="111" customFormat="1" ht="12.75">
      <c r="A282" s="168">
        <v>2</v>
      </c>
      <c r="B282" s="187" t="s">
        <v>176</v>
      </c>
      <c r="C282" s="173" t="s">
        <v>132</v>
      </c>
      <c r="D282" s="173" t="s">
        <v>132</v>
      </c>
      <c r="E282" s="159" t="s">
        <v>132</v>
      </c>
      <c r="F282" s="159" t="s">
        <v>132</v>
      </c>
      <c r="G282" s="188" t="s">
        <v>132</v>
      </c>
      <c r="H282" s="173" t="s">
        <v>132</v>
      </c>
      <c r="I282" s="180"/>
    </row>
    <row r="283" spans="1:10" s="111" customFormat="1" ht="12.75">
      <c r="A283" s="115"/>
      <c r="B283" s="212" t="s">
        <v>334</v>
      </c>
      <c r="C283" s="274">
        <f>31+35+3.4+5.9+96.5</f>
        <v>171.8</v>
      </c>
      <c r="D283" s="274">
        <v>202.93</v>
      </c>
      <c r="E283" s="158">
        <v>1269.43</v>
      </c>
      <c r="F283" s="153">
        <f>C283*E283</f>
        <v>218088.07400000002</v>
      </c>
      <c r="G283" s="280">
        <v>218088.07</v>
      </c>
      <c r="H283" s="183">
        <v>0</v>
      </c>
      <c r="I283" s="209"/>
      <c r="J283" s="111">
        <f>E283*C283</f>
        <v>218088.07400000002</v>
      </c>
    </row>
    <row r="284" spans="1:10" s="111" customFormat="1" ht="12.75">
      <c r="A284" s="115"/>
      <c r="B284" s="212" t="s">
        <v>335</v>
      </c>
      <c r="C284" s="274">
        <f>30+30.9+3.4+96.5+10</f>
        <v>170.8</v>
      </c>
      <c r="D284" s="274">
        <v>169.32</v>
      </c>
      <c r="E284" s="158">
        <f>E283</f>
        <v>1269.43</v>
      </c>
      <c r="F284" s="153">
        <f>C284*E284</f>
        <v>216818.64400000003</v>
      </c>
      <c r="G284" s="280">
        <v>216818.65</v>
      </c>
      <c r="H284" s="183">
        <v>0</v>
      </c>
      <c r="I284" s="209"/>
      <c r="J284" s="111">
        <f aca="true" t="shared" si="16" ref="J284:J297">E284*C284</f>
        <v>216818.64400000003</v>
      </c>
    </row>
    <row r="285" spans="1:10" s="111" customFormat="1" ht="12.75">
      <c r="A285" s="115"/>
      <c r="B285" s="212" t="s">
        <v>336</v>
      </c>
      <c r="C285" s="274">
        <f>30+30+3.4+75-31</f>
        <v>107.4</v>
      </c>
      <c r="D285" s="274">
        <v>140.86</v>
      </c>
      <c r="E285" s="158">
        <f>E283</f>
        <v>1269.43</v>
      </c>
      <c r="F285" s="153">
        <f>C285*E285</f>
        <v>136336.782</v>
      </c>
      <c r="G285" s="280">
        <v>136336.78</v>
      </c>
      <c r="H285" s="183">
        <v>0</v>
      </c>
      <c r="I285" s="209"/>
      <c r="J285" s="111">
        <f t="shared" si="16"/>
        <v>136336.782</v>
      </c>
    </row>
    <row r="286" spans="1:10" s="121" customFormat="1" ht="15.75">
      <c r="A286" s="168"/>
      <c r="B286" s="213" t="s">
        <v>337</v>
      </c>
      <c r="C286" s="215">
        <f>SUM(C283:C285)</f>
        <v>450</v>
      </c>
      <c r="D286" s="215">
        <f>SUM(D283:D285)</f>
        <v>513.11</v>
      </c>
      <c r="E286" s="459" t="s">
        <v>71</v>
      </c>
      <c r="F286" s="170">
        <f>SUM(F283:F285)</f>
        <v>571243.5</v>
      </c>
      <c r="G286" s="267">
        <f>SUM(G283:G285)</f>
        <v>571243.5</v>
      </c>
      <c r="H286" s="275">
        <f>SUM(H283:H285)</f>
        <v>0</v>
      </c>
      <c r="I286" s="285"/>
      <c r="J286" s="111"/>
    </row>
    <row r="287" spans="1:10" s="111" customFormat="1" ht="12.75">
      <c r="A287" s="115"/>
      <c r="B287" s="212" t="s">
        <v>338</v>
      </c>
      <c r="C287" s="274">
        <f>73.96+40</f>
        <v>113.96</v>
      </c>
      <c r="D287" s="274">
        <v>118.81</v>
      </c>
      <c r="E287" s="158">
        <f>E283</f>
        <v>1269.43</v>
      </c>
      <c r="F287" s="153">
        <f>C287*E287</f>
        <v>144664.2428</v>
      </c>
      <c r="G287" s="280">
        <v>144664.24</v>
      </c>
      <c r="H287" s="183">
        <v>0</v>
      </c>
      <c r="I287" s="209"/>
      <c r="J287" s="111">
        <f t="shared" si="16"/>
        <v>144664.2428</v>
      </c>
    </row>
    <row r="288" spans="1:10" s="111" customFormat="1" ht="12.75">
      <c r="A288" s="115"/>
      <c r="B288" s="212" t="s">
        <v>339</v>
      </c>
      <c r="C288" s="274">
        <f>56.98+0.47</f>
        <v>57.449999999999996</v>
      </c>
      <c r="D288" s="274">
        <v>53.71</v>
      </c>
      <c r="E288" s="158">
        <f>E283</f>
        <v>1269.43</v>
      </c>
      <c r="F288" s="153">
        <f>C288*E288</f>
        <v>72928.75349999999</v>
      </c>
      <c r="G288" s="280">
        <v>72928.76</v>
      </c>
      <c r="H288" s="183">
        <v>0</v>
      </c>
      <c r="I288" s="209"/>
      <c r="J288" s="111">
        <f t="shared" si="16"/>
        <v>72928.75349999999</v>
      </c>
    </row>
    <row r="289" spans="1:10" s="111" customFormat="1" ht="12.75">
      <c r="A289" s="115"/>
      <c r="B289" s="212" t="s">
        <v>340</v>
      </c>
      <c r="C289" s="274">
        <v>28.59</v>
      </c>
      <c r="D289" s="274">
        <v>22.05</v>
      </c>
      <c r="E289" s="158">
        <f>E283</f>
        <v>1269.43</v>
      </c>
      <c r="F289" s="153">
        <f>C289*E289</f>
        <v>36293.0037</v>
      </c>
      <c r="G289" s="280">
        <v>36293</v>
      </c>
      <c r="H289" s="183">
        <v>0</v>
      </c>
      <c r="I289" s="209"/>
      <c r="J289" s="111">
        <f t="shared" si="16"/>
        <v>36293.0037</v>
      </c>
    </row>
    <row r="290" spans="1:10" s="121" customFormat="1" ht="15.75">
      <c r="A290" s="168"/>
      <c r="B290" s="213" t="s">
        <v>341</v>
      </c>
      <c r="C290" s="215">
        <f>SUM(C287:C289)</f>
        <v>200</v>
      </c>
      <c r="D290" s="215">
        <f>SUM(D287:D289)</f>
        <v>194.57000000000002</v>
      </c>
      <c r="E290" s="459" t="s">
        <v>71</v>
      </c>
      <c r="F290" s="170">
        <f>SUM(F287:F289)</f>
        <v>253886</v>
      </c>
      <c r="G290" s="267">
        <f>SUM(G287:G289)</f>
        <v>253886</v>
      </c>
      <c r="H290" s="275">
        <f>SUM(H287:H289)</f>
        <v>0</v>
      </c>
      <c r="I290" s="286"/>
      <c r="J290" s="111"/>
    </row>
    <row r="291" spans="1:10" s="111" customFormat="1" ht="12.75">
      <c r="A291" s="115"/>
      <c r="B291" s="212" t="s">
        <v>342</v>
      </c>
      <c r="C291" s="274">
        <v>20</v>
      </c>
      <c r="D291" s="274">
        <v>23.02</v>
      </c>
      <c r="E291" s="158">
        <v>1310.41</v>
      </c>
      <c r="F291" s="153">
        <f>C291*E291</f>
        <v>26208.2</v>
      </c>
      <c r="G291" s="280">
        <v>16733.94</v>
      </c>
      <c r="H291" s="183">
        <v>0</v>
      </c>
      <c r="I291" s="209"/>
      <c r="J291" s="111">
        <f t="shared" si="16"/>
        <v>26208.2</v>
      </c>
    </row>
    <row r="292" spans="1:10" s="111" customFormat="1" ht="12.75">
      <c r="A292" s="115"/>
      <c r="B292" s="212" t="s">
        <v>343</v>
      </c>
      <c r="C292" s="274">
        <v>20</v>
      </c>
      <c r="D292" s="274">
        <v>24.35</v>
      </c>
      <c r="E292" s="158">
        <f>E291</f>
        <v>1310.41</v>
      </c>
      <c r="F292" s="153">
        <f>C292*E292</f>
        <v>26208.2</v>
      </c>
      <c r="G292" s="280">
        <v>17900.2</v>
      </c>
      <c r="H292" s="183">
        <v>0</v>
      </c>
      <c r="I292" s="209"/>
      <c r="J292" s="111">
        <f t="shared" si="16"/>
        <v>26208.2</v>
      </c>
    </row>
    <row r="293" spans="1:10" s="111" customFormat="1" ht="12.75">
      <c r="A293" s="115"/>
      <c r="B293" s="212" t="s">
        <v>344</v>
      </c>
      <c r="C293" s="274">
        <v>20</v>
      </c>
      <c r="D293" s="274">
        <v>18.09</v>
      </c>
      <c r="E293" s="158">
        <f>E291</f>
        <v>1310.41</v>
      </c>
      <c r="F293" s="153">
        <f>C293*E293</f>
        <v>26208.2</v>
      </c>
      <c r="G293" s="280">
        <v>43990.46</v>
      </c>
      <c r="H293" s="183">
        <v>0</v>
      </c>
      <c r="I293" s="209"/>
      <c r="J293" s="111">
        <f t="shared" si="16"/>
        <v>26208.2</v>
      </c>
    </row>
    <row r="294" spans="1:10" s="121" customFormat="1" ht="15.75">
      <c r="A294" s="168"/>
      <c r="B294" s="213" t="s">
        <v>341</v>
      </c>
      <c r="C294" s="215">
        <f>SUM(C291:C293)</f>
        <v>60</v>
      </c>
      <c r="D294" s="215">
        <f>SUM(D291:D293)</f>
        <v>65.46000000000001</v>
      </c>
      <c r="E294" s="459" t="s">
        <v>71</v>
      </c>
      <c r="F294" s="170">
        <f>SUM(F291:F293)</f>
        <v>78624.6</v>
      </c>
      <c r="G294" s="267">
        <f>SUM(G291:G293)</f>
        <v>78624.6</v>
      </c>
      <c r="H294" s="275">
        <f>SUM(H291:H293)</f>
        <v>0</v>
      </c>
      <c r="I294" s="285"/>
      <c r="J294" s="111"/>
    </row>
    <row r="295" spans="1:10" s="111" customFormat="1" ht="12.75">
      <c r="A295" s="184"/>
      <c r="B295" s="212" t="s">
        <v>345</v>
      </c>
      <c r="C295" s="274">
        <f>71.65+1.73</f>
        <v>73.38000000000001</v>
      </c>
      <c r="D295" s="274">
        <v>76.36</v>
      </c>
      <c r="E295" s="158">
        <f>E291</f>
        <v>1310.41</v>
      </c>
      <c r="F295" s="153">
        <f>C295*E295</f>
        <v>96157.88580000002</v>
      </c>
      <c r="G295" s="280">
        <v>96157.89</v>
      </c>
      <c r="H295" s="183">
        <v>0</v>
      </c>
      <c r="I295" s="209"/>
      <c r="J295" s="111">
        <f t="shared" si="16"/>
        <v>96157.88580000002</v>
      </c>
    </row>
    <row r="296" spans="1:10" s="111" customFormat="1" ht="12.75">
      <c r="A296" s="184"/>
      <c r="B296" s="212" t="s">
        <v>346</v>
      </c>
      <c r="C296" s="274">
        <v>122.65</v>
      </c>
      <c r="D296" s="274">
        <v>120.78</v>
      </c>
      <c r="E296" s="158">
        <f>E291</f>
        <v>1310.41</v>
      </c>
      <c r="F296" s="153">
        <f>C296*E296</f>
        <v>160721.78650000002</v>
      </c>
      <c r="G296" s="280">
        <v>160721.79</v>
      </c>
      <c r="H296" s="183">
        <v>0</v>
      </c>
      <c r="I296" s="209"/>
      <c r="J296" s="111">
        <f t="shared" si="16"/>
        <v>160721.78650000002</v>
      </c>
    </row>
    <row r="297" spans="1:10" s="111" customFormat="1" ht="12.75">
      <c r="A297" s="184"/>
      <c r="B297" s="212" t="s">
        <v>347</v>
      </c>
      <c r="C297" s="274">
        <v>153.97</v>
      </c>
      <c r="D297" s="274">
        <v>154.83</v>
      </c>
      <c r="E297" s="158">
        <f>E291</f>
        <v>1310.41</v>
      </c>
      <c r="F297" s="153">
        <f>C297*E297</f>
        <v>201763.82770000002</v>
      </c>
      <c r="G297" s="280">
        <v>201766.23</v>
      </c>
      <c r="H297" s="183">
        <v>0</v>
      </c>
      <c r="I297" s="209"/>
      <c r="J297" s="111">
        <f t="shared" si="16"/>
        <v>201763.82770000002</v>
      </c>
    </row>
    <row r="298" spans="1:10" s="121" customFormat="1" ht="13.5">
      <c r="A298" s="168"/>
      <c r="B298" s="213" t="s">
        <v>348</v>
      </c>
      <c r="C298" s="215">
        <f>SUM(C295:C297)</f>
        <v>350</v>
      </c>
      <c r="D298" s="215">
        <f>SUM(D295:D297)</f>
        <v>351.97</v>
      </c>
      <c r="E298" s="159" t="s">
        <v>132</v>
      </c>
      <c r="F298" s="170">
        <f>SUM(F295:F297)</f>
        <v>458643.50000000006</v>
      </c>
      <c r="G298" s="267">
        <f>SUM(G295:G297)-0.01</f>
        <v>458645.9</v>
      </c>
      <c r="H298" s="275">
        <f>SUM(H295:H297)</f>
        <v>0</v>
      </c>
      <c r="I298" s="286"/>
      <c r="J298" s="111"/>
    </row>
    <row r="299" spans="1:10" s="111" customFormat="1" ht="13.5">
      <c r="A299" s="115"/>
      <c r="B299" s="217" t="s">
        <v>349</v>
      </c>
      <c r="C299" s="480">
        <f>C286+C290+C294+C298</f>
        <v>1060</v>
      </c>
      <c r="D299" s="481">
        <f>D286+D290+D294+D298</f>
        <v>1125.1100000000001</v>
      </c>
      <c r="E299" s="159" t="s">
        <v>132</v>
      </c>
      <c r="F299" s="170">
        <f>F286+F290+F294+F298</f>
        <v>1362397.6</v>
      </c>
      <c r="G299" s="267">
        <f>G286+G290+G294+G298</f>
        <v>1362400</v>
      </c>
      <c r="H299" s="275">
        <f>H286+H290+H294+H298</f>
        <v>0</v>
      </c>
      <c r="I299" s="286"/>
      <c r="J299" s="282">
        <f>SUM(J283:J299)</f>
        <v>0</v>
      </c>
    </row>
    <row r="300" spans="1:9" s="245" customFormat="1" ht="12.75">
      <c r="A300" s="240">
        <v>3</v>
      </c>
      <c r="B300" s="241" t="s">
        <v>177</v>
      </c>
      <c r="C300" s="244" t="s">
        <v>132</v>
      </c>
      <c r="D300" s="244" t="s">
        <v>132</v>
      </c>
      <c r="E300" s="242" t="s">
        <v>132</v>
      </c>
      <c r="F300" s="242" t="s">
        <v>132</v>
      </c>
      <c r="G300" s="243" t="s">
        <v>132</v>
      </c>
      <c r="H300" s="244" t="s">
        <v>132</v>
      </c>
      <c r="I300" s="287"/>
    </row>
    <row r="301" spans="1:10" s="245" customFormat="1" ht="12.75">
      <c r="A301" s="246"/>
      <c r="B301" s="247" t="s">
        <v>334</v>
      </c>
      <c r="C301" s="427">
        <f>180+200-30</f>
        <v>350</v>
      </c>
      <c r="D301" s="427">
        <v>244</v>
      </c>
      <c r="E301" s="248">
        <v>30.15</v>
      </c>
      <c r="F301" s="178">
        <f>D301*E301</f>
        <v>7356.599999999999</v>
      </c>
      <c r="G301" s="271">
        <v>7356.6</v>
      </c>
      <c r="H301" s="273">
        <v>0</v>
      </c>
      <c r="I301" s="288"/>
      <c r="J301" s="111">
        <f>E301*C301</f>
        <v>10552.5</v>
      </c>
    </row>
    <row r="302" spans="1:10" s="245" customFormat="1" ht="12.75">
      <c r="A302" s="246"/>
      <c r="B302" s="247" t="s">
        <v>335</v>
      </c>
      <c r="C302" s="427">
        <f>160+170</f>
        <v>330</v>
      </c>
      <c r="D302" s="427">
        <v>289.65</v>
      </c>
      <c r="E302" s="248">
        <f>E301</f>
        <v>30.15</v>
      </c>
      <c r="F302" s="178">
        <f aca="true" t="shared" si="17" ref="F302:F314">D302*E302</f>
        <v>8732.947499999998</v>
      </c>
      <c r="G302" s="271">
        <v>8732.95</v>
      </c>
      <c r="H302" s="273">
        <v>0</v>
      </c>
      <c r="I302" s="288"/>
      <c r="J302" s="111">
        <f aca="true" t="shared" si="18" ref="J302:J315">E302*C302</f>
        <v>9949.5</v>
      </c>
    </row>
    <row r="303" spans="1:10" s="245" customFormat="1" ht="12.75">
      <c r="A303" s="246"/>
      <c r="B303" s="247" t="s">
        <v>336</v>
      </c>
      <c r="C303" s="427">
        <f>150+160</f>
        <v>310</v>
      </c>
      <c r="D303" s="427">
        <v>234.58</v>
      </c>
      <c r="E303" s="248">
        <f>E301</f>
        <v>30.15</v>
      </c>
      <c r="F303" s="178">
        <f t="shared" si="17"/>
        <v>7072.587</v>
      </c>
      <c r="G303" s="271">
        <v>7072.59</v>
      </c>
      <c r="H303" s="273">
        <v>0</v>
      </c>
      <c r="I303" s="288"/>
      <c r="J303" s="111">
        <f t="shared" si="18"/>
        <v>9346.5</v>
      </c>
    </row>
    <row r="304" spans="1:10" s="254" customFormat="1" ht="13.5">
      <c r="A304" s="240"/>
      <c r="B304" s="251" t="s">
        <v>337</v>
      </c>
      <c r="C304" s="480">
        <f>SUM(C301:C303)</f>
        <v>990</v>
      </c>
      <c r="D304" s="480">
        <f>SUM(D301:D303)</f>
        <v>768.23</v>
      </c>
      <c r="E304" s="252" t="s">
        <v>71</v>
      </c>
      <c r="F304" s="253">
        <f>SUM(F301:F303)</f>
        <v>23162.134499999996</v>
      </c>
      <c r="G304" s="281">
        <f>SUM(G301:G303)-0.01</f>
        <v>23162.13</v>
      </c>
      <c r="H304" s="293">
        <f>SUM(H301:H303)</f>
        <v>0</v>
      </c>
      <c r="I304" s="289"/>
      <c r="J304" s="111"/>
    </row>
    <row r="305" spans="1:10" s="245" customFormat="1" ht="12.75">
      <c r="A305" s="246"/>
      <c r="B305" s="247" t="s">
        <v>338</v>
      </c>
      <c r="C305" s="427">
        <v>320</v>
      </c>
      <c r="D305" s="427">
        <v>267.77</v>
      </c>
      <c r="E305" s="248">
        <f>E301</f>
        <v>30.15</v>
      </c>
      <c r="F305" s="178">
        <f t="shared" si="17"/>
        <v>8073.2654999999995</v>
      </c>
      <c r="G305" s="271">
        <v>8073.27</v>
      </c>
      <c r="H305" s="273">
        <v>0</v>
      </c>
      <c r="I305" s="288"/>
      <c r="J305" s="111">
        <f t="shared" si="18"/>
        <v>9648</v>
      </c>
    </row>
    <row r="306" spans="1:10" s="245" customFormat="1" ht="12.75">
      <c r="A306" s="246"/>
      <c r="B306" s="247" t="s">
        <v>339</v>
      </c>
      <c r="C306" s="427">
        <f>310+30</f>
        <v>340</v>
      </c>
      <c r="D306" s="427">
        <v>235</v>
      </c>
      <c r="E306" s="248">
        <f>E301</f>
        <v>30.15</v>
      </c>
      <c r="F306" s="178">
        <f t="shared" si="17"/>
        <v>7085.25</v>
      </c>
      <c r="G306" s="271">
        <v>7085.25</v>
      </c>
      <c r="H306" s="273">
        <v>0</v>
      </c>
      <c r="I306" s="288"/>
      <c r="J306" s="111">
        <f t="shared" si="18"/>
        <v>10251</v>
      </c>
    </row>
    <row r="307" spans="1:10" s="245" customFormat="1" ht="12.75">
      <c r="A307" s="246"/>
      <c r="B307" s="247" t="s">
        <v>340</v>
      </c>
      <c r="C307" s="427">
        <f>280+80</f>
        <v>360</v>
      </c>
      <c r="D307" s="427">
        <v>256</v>
      </c>
      <c r="E307" s="248">
        <f>E301</f>
        <v>30.15</v>
      </c>
      <c r="F307" s="178">
        <f t="shared" si="17"/>
        <v>7718.4</v>
      </c>
      <c r="G307" s="271">
        <v>7718.4</v>
      </c>
      <c r="H307" s="273">
        <v>0</v>
      </c>
      <c r="I307" s="288"/>
      <c r="J307" s="111">
        <f t="shared" si="18"/>
        <v>10854</v>
      </c>
    </row>
    <row r="308" spans="1:10" s="254" customFormat="1" ht="13.5">
      <c r="A308" s="240"/>
      <c r="B308" s="251" t="s">
        <v>341</v>
      </c>
      <c r="C308" s="480">
        <f>SUM(C305:C307)</f>
        <v>1020</v>
      </c>
      <c r="D308" s="480">
        <f>SUM(D305:D307)</f>
        <v>758.77</v>
      </c>
      <c r="E308" s="252" t="s">
        <v>71</v>
      </c>
      <c r="F308" s="253">
        <f>SUM(F305:F307)</f>
        <v>22876.9155</v>
      </c>
      <c r="G308" s="281">
        <f>SUM(G305:G307)</f>
        <v>22876.92</v>
      </c>
      <c r="H308" s="293">
        <f>SUM(H305:H307)</f>
        <v>0</v>
      </c>
      <c r="I308" s="290"/>
      <c r="J308" s="111"/>
    </row>
    <row r="309" spans="1:10" s="245" customFormat="1" ht="12.75">
      <c r="A309" s="246"/>
      <c r="B309" s="247" t="s">
        <v>342</v>
      </c>
      <c r="C309" s="427">
        <v>250</v>
      </c>
      <c r="D309" s="427">
        <v>265</v>
      </c>
      <c r="E309" s="248">
        <v>31.45</v>
      </c>
      <c r="F309" s="178">
        <f t="shared" si="17"/>
        <v>8334.25</v>
      </c>
      <c r="G309" s="271">
        <v>8334.25</v>
      </c>
      <c r="H309" s="273">
        <v>0</v>
      </c>
      <c r="I309" s="288"/>
      <c r="J309" s="111">
        <f t="shared" si="18"/>
        <v>7862.5</v>
      </c>
    </row>
    <row r="310" spans="1:10" s="245" customFormat="1" ht="12.75">
      <c r="A310" s="246"/>
      <c r="B310" s="247" t="s">
        <v>343</v>
      </c>
      <c r="C310" s="427">
        <f>290+10</f>
        <v>300</v>
      </c>
      <c r="D310" s="427">
        <v>240</v>
      </c>
      <c r="E310" s="248">
        <f>E309</f>
        <v>31.45</v>
      </c>
      <c r="F310" s="178">
        <f t="shared" si="17"/>
        <v>7548</v>
      </c>
      <c r="G310" s="271">
        <v>7673.8</v>
      </c>
      <c r="H310" s="273">
        <v>0</v>
      </c>
      <c r="I310" s="288"/>
      <c r="J310" s="111">
        <f t="shared" si="18"/>
        <v>9435</v>
      </c>
    </row>
    <row r="311" spans="1:10" s="245" customFormat="1" ht="12.75">
      <c r="A311" s="246"/>
      <c r="B311" s="247" t="s">
        <v>344</v>
      </c>
      <c r="C311" s="427">
        <v>300</v>
      </c>
      <c r="D311" s="427">
        <v>221</v>
      </c>
      <c r="E311" s="248">
        <f>E309</f>
        <v>31.45</v>
      </c>
      <c r="F311" s="178">
        <f t="shared" si="17"/>
        <v>6950.45</v>
      </c>
      <c r="G311" s="271">
        <v>8491.5</v>
      </c>
      <c r="H311" s="273">
        <v>0</v>
      </c>
      <c r="I311" s="288"/>
      <c r="J311" s="111">
        <f t="shared" si="18"/>
        <v>9435</v>
      </c>
    </row>
    <row r="312" spans="1:10" s="254" customFormat="1" ht="13.5">
      <c r="A312" s="240"/>
      <c r="B312" s="251" t="s">
        <v>341</v>
      </c>
      <c r="C312" s="480">
        <f>SUM(C309:C311)</f>
        <v>850</v>
      </c>
      <c r="D312" s="480">
        <f>SUM(D309:D311)</f>
        <v>726</v>
      </c>
      <c r="E312" s="252" t="s">
        <v>71</v>
      </c>
      <c r="F312" s="253">
        <f>SUM(F309:F311)</f>
        <v>22832.7</v>
      </c>
      <c r="G312" s="281">
        <f>SUM(G309:G311)</f>
        <v>24499.55</v>
      </c>
      <c r="H312" s="293">
        <f>SUM(H309:H311)</f>
        <v>0</v>
      </c>
      <c r="I312" s="289"/>
      <c r="J312" s="111"/>
    </row>
    <row r="313" spans="1:10" s="245" customFormat="1" ht="12.75">
      <c r="A313" s="255"/>
      <c r="B313" s="247" t="s">
        <v>345</v>
      </c>
      <c r="C313" s="427">
        <f>300-50</f>
        <v>250</v>
      </c>
      <c r="D313" s="427">
        <v>439.03</v>
      </c>
      <c r="E313" s="248">
        <f>E309</f>
        <v>31.45</v>
      </c>
      <c r="F313" s="178">
        <f t="shared" si="17"/>
        <v>13807.493499999999</v>
      </c>
      <c r="G313" s="271">
        <v>8051.2</v>
      </c>
      <c r="H313" s="273">
        <v>0</v>
      </c>
      <c r="I313" s="288"/>
      <c r="J313" s="111">
        <f t="shared" si="18"/>
        <v>7862.5</v>
      </c>
    </row>
    <row r="314" spans="1:10" s="245" customFormat="1" ht="12.75">
      <c r="A314" s="255"/>
      <c r="B314" s="247" t="s">
        <v>346</v>
      </c>
      <c r="C314" s="427">
        <f>330-40</f>
        <v>290</v>
      </c>
      <c r="D314" s="427">
        <v>269.22</v>
      </c>
      <c r="E314" s="248">
        <f>E309</f>
        <v>31.45</v>
      </c>
      <c r="F314" s="178">
        <f t="shared" si="17"/>
        <v>8466.969000000001</v>
      </c>
      <c r="G314" s="271">
        <v>10755.9</v>
      </c>
      <c r="H314" s="273">
        <v>0</v>
      </c>
      <c r="I314" s="288"/>
      <c r="J314" s="111">
        <f t="shared" si="18"/>
        <v>9120.5</v>
      </c>
    </row>
    <row r="315" spans="1:10" s="245" customFormat="1" ht="12.75">
      <c r="A315" s="255"/>
      <c r="B315" s="247" t="s">
        <v>347</v>
      </c>
      <c r="C315" s="427">
        <f>380</f>
        <v>380</v>
      </c>
      <c r="D315" s="427">
        <v>310</v>
      </c>
      <c r="E315" s="248">
        <f>E309</f>
        <v>31.45</v>
      </c>
      <c r="F315" s="178">
        <f>D315*E315</f>
        <v>9749.5</v>
      </c>
      <c r="G315" s="271">
        <v>9754.3</v>
      </c>
      <c r="H315" s="273">
        <v>0</v>
      </c>
      <c r="I315" s="288"/>
      <c r="J315" s="111">
        <f t="shared" si="18"/>
        <v>11951</v>
      </c>
    </row>
    <row r="316" spans="1:9" s="254" customFormat="1" ht="13.5">
      <c r="A316" s="240"/>
      <c r="B316" s="251" t="s">
        <v>348</v>
      </c>
      <c r="C316" s="480">
        <f>SUM(C313:C315)</f>
        <v>920</v>
      </c>
      <c r="D316" s="480">
        <f>SUM(D313:D315)</f>
        <v>1018.25</v>
      </c>
      <c r="E316" s="242" t="s">
        <v>132</v>
      </c>
      <c r="F316" s="253">
        <f>SUM(F313:F315)</f>
        <v>32023.9625</v>
      </c>
      <c r="G316" s="281">
        <f>SUM(G313:G315)</f>
        <v>28561.399999999998</v>
      </c>
      <c r="H316" s="293">
        <f>SUM(H313:H315)</f>
        <v>0</v>
      </c>
      <c r="I316" s="290"/>
    </row>
    <row r="317" spans="1:9" s="245" customFormat="1" ht="13.5">
      <c r="A317" s="246"/>
      <c r="B317" s="256" t="s">
        <v>349</v>
      </c>
      <c r="C317" s="480">
        <f>C304+C308+C312+C316</f>
        <v>3780</v>
      </c>
      <c r="D317" s="480">
        <f>D304+D308+D312+D316</f>
        <v>3271.25</v>
      </c>
      <c r="E317" s="242" t="s">
        <v>132</v>
      </c>
      <c r="F317" s="253">
        <f>F304+F308+F312+F316</f>
        <v>100895.7125</v>
      </c>
      <c r="G317" s="281">
        <f>G304+G308+G312+G316</f>
        <v>99100</v>
      </c>
      <c r="H317" s="293">
        <f>H304+H308+H312+H316</f>
        <v>0</v>
      </c>
      <c r="I317" s="290"/>
    </row>
    <row r="318" spans="1:9" s="245" customFormat="1" ht="12.75">
      <c r="A318" s="240">
        <v>4</v>
      </c>
      <c r="B318" s="241" t="s">
        <v>178</v>
      </c>
      <c r="C318" s="244" t="s">
        <v>132</v>
      </c>
      <c r="D318" s="244" t="s">
        <v>132</v>
      </c>
      <c r="E318" s="242" t="s">
        <v>132</v>
      </c>
      <c r="F318" s="242" t="s">
        <v>132</v>
      </c>
      <c r="G318" s="243" t="s">
        <v>132</v>
      </c>
      <c r="H318" s="244" t="s">
        <v>132</v>
      </c>
      <c r="I318" s="287"/>
    </row>
    <row r="319" spans="1:10" s="245" customFormat="1" ht="12.75">
      <c r="A319" s="246"/>
      <c r="B319" s="247" t="s">
        <v>334</v>
      </c>
      <c r="C319" s="427">
        <f>317+340</f>
        <v>657</v>
      </c>
      <c r="D319" s="427">
        <v>833.38</v>
      </c>
      <c r="E319" s="248">
        <v>14.79</v>
      </c>
      <c r="F319" s="178">
        <f>C319*E319</f>
        <v>9717.029999999999</v>
      </c>
      <c r="G319" s="271">
        <v>9717.03</v>
      </c>
      <c r="H319" s="273">
        <v>0</v>
      </c>
      <c r="I319" s="288"/>
      <c r="J319" s="111">
        <f>E319*C319</f>
        <v>9717.029999999999</v>
      </c>
    </row>
    <row r="320" spans="1:10" s="245" customFormat="1" ht="12.75">
      <c r="A320" s="246"/>
      <c r="B320" s="247" t="s">
        <v>335</v>
      </c>
      <c r="C320" s="427">
        <f>316+300</f>
        <v>616</v>
      </c>
      <c r="D320" s="427">
        <v>815.36</v>
      </c>
      <c r="E320" s="248">
        <f>E319</f>
        <v>14.79</v>
      </c>
      <c r="F320" s="178">
        <f>C320*E320</f>
        <v>9110.64</v>
      </c>
      <c r="G320" s="271">
        <v>9110.64</v>
      </c>
      <c r="H320" s="273">
        <v>0</v>
      </c>
      <c r="I320" s="288"/>
      <c r="J320" s="111">
        <f aca="true" t="shared" si="19" ref="J320:J333">E320*C320</f>
        <v>9110.64</v>
      </c>
    </row>
    <row r="321" spans="1:10" s="245" customFormat="1" ht="12.75">
      <c r="A321" s="246"/>
      <c r="B321" s="247" t="s">
        <v>336</v>
      </c>
      <c r="C321" s="427">
        <f>316+320-59</f>
        <v>577</v>
      </c>
      <c r="D321" s="427">
        <v>843.57</v>
      </c>
      <c r="E321" s="248">
        <f>E319</f>
        <v>14.79</v>
      </c>
      <c r="F321" s="178">
        <f>C321*E321</f>
        <v>8533.83</v>
      </c>
      <c r="G321" s="271">
        <v>8533.83</v>
      </c>
      <c r="H321" s="273">
        <v>0</v>
      </c>
      <c r="I321" s="288"/>
      <c r="J321" s="111">
        <f t="shared" si="19"/>
        <v>8533.83</v>
      </c>
    </row>
    <row r="322" spans="1:10" s="254" customFormat="1" ht="13.5">
      <c r="A322" s="240"/>
      <c r="B322" s="251" t="s">
        <v>337</v>
      </c>
      <c r="C322" s="480">
        <f>SUM(C319:C321)</f>
        <v>1850</v>
      </c>
      <c r="D322" s="480">
        <f>SUM(D319:D321)</f>
        <v>2492.31</v>
      </c>
      <c r="E322" s="252" t="s">
        <v>71</v>
      </c>
      <c r="F322" s="253">
        <f>SUM(F319:F321)</f>
        <v>27361.5</v>
      </c>
      <c r="G322" s="281">
        <f>SUM(G319:G321)</f>
        <v>27361.5</v>
      </c>
      <c r="H322" s="293">
        <f>SUM(H319:H321)</f>
        <v>0</v>
      </c>
      <c r="I322" s="289"/>
      <c r="J322" s="111"/>
    </row>
    <row r="323" spans="1:10" s="245" customFormat="1" ht="12.75">
      <c r="A323" s="246"/>
      <c r="B323" s="247" t="s">
        <v>338</v>
      </c>
      <c r="C323" s="427">
        <f>637+57.2</f>
        <v>694.2</v>
      </c>
      <c r="D323" s="427">
        <v>952.91</v>
      </c>
      <c r="E323" s="248">
        <f>E319</f>
        <v>14.79</v>
      </c>
      <c r="F323" s="178">
        <f>C323*E323</f>
        <v>10267.218</v>
      </c>
      <c r="G323" s="271">
        <v>10267.22</v>
      </c>
      <c r="H323" s="273">
        <v>0</v>
      </c>
      <c r="I323" s="288"/>
      <c r="J323" s="111">
        <f t="shared" si="19"/>
        <v>10267.218</v>
      </c>
    </row>
    <row r="324" spans="1:10" s="245" customFormat="1" ht="12.75">
      <c r="A324" s="246"/>
      <c r="B324" s="247" t="s">
        <v>339</v>
      </c>
      <c r="C324" s="427">
        <f>596+60</f>
        <v>656</v>
      </c>
      <c r="D324" s="427">
        <v>743.53</v>
      </c>
      <c r="E324" s="248">
        <f>E319</f>
        <v>14.79</v>
      </c>
      <c r="F324" s="178">
        <f>C324*E324</f>
        <v>9702.24</v>
      </c>
      <c r="G324" s="271">
        <v>9702.24</v>
      </c>
      <c r="H324" s="273">
        <v>0</v>
      </c>
      <c r="I324" s="288"/>
      <c r="J324" s="111">
        <f t="shared" si="19"/>
        <v>9702.24</v>
      </c>
    </row>
    <row r="325" spans="1:10" s="245" customFormat="1" ht="12.75">
      <c r="A325" s="246"/>
      <c r="B325" s="247" t="s">
        <v>340</v>
      </c>
      <c r="C325" s="427">
        <f>589.8+60</f>
        <v>649.8</v>
      </c>
      <c r="D325" s="427">
        <v>648.02</v>
      </c>
      <c r="E325" s="248">
        <f>E319</f>
        <v>14.79</v>
      </c>
      <c r="F325" s="178">
        <f>C325*E325</f>
        <v>9610.542</v>
      </c>
      <c r="G325" s="271">
        <v>9610.54</v>
      </c>
      <c r="H325" s="273">
        <v>0</v>
      </c>
      <c r="I325" s="288"/>
      <c r="J325" s="111">
        <f t="shared" si="19"/>
        <v>9610.542</v>
      </c>
    </row>
    <row r="326" spans="1:10" s="254" customFormat="1" ht="13.5">
      <c r="A326" s="240"/>
      <c r="B326" s="251" t="s">
        <v>341</v>
      </c>
      <c r="C326" s="480">
        <f>SUM(C323:C325)</f>
        <v>2000</v>
      </c>
      <c r="D326" s="480">
        <f>SUM(D323:D325)</f>
        <v>2344.46</v>
      </c>
      <c r="E326" s="252" t="s">
        <v>71</v>
      </c>
      <c r="F326" s="253">
        <f>SUM(F323:F325)</f>
        <v>29580</v>
      </c>
      <c r="G326" s="281">
        <f>SUM(G323:G325)</f>
        <v>29580</v>
      </c>
      <c r="H326" s="293">
        <f>SUM(H323:H325)</f>
        <v>0</v>
      </c>
      <c r="I326" s="290"/>
      <c r="J326" s="111"/>
    </row>
    <row r="327" spans="1:10" s="245" customFormat="1" ht="12.75">
      <c r="A327" s="246"/>
      <c r="B327" s="247" t="s">
        <v>342</v>
      </c>
      <c r="C327" s="427">
        <v>500</v>
      </c>
      <c r="D327" s="427">
        <v>652.4</v>
      </c>
      <c r="E327" s="248">
        <v>15.17</v>
      </c>
      <c r="F327" s="178">
        <f>C327*E327</f>
        <v>7585</v>
      </c>
      <c r="G327" s="271">
        <v>7220.92</v>
      </c>
      <c r="H327" s="273">
        <v>0</v>
      </c>
      <c r="I327" s="288"/>
      <c r="J327" s="111">
        <f t="shared" si="19"/>
        <v>7585</v>
      </c>
    </row>
    <row r="328" spans="1:10" s="245" customFormat="1" ht="12.75">
      <c r="A328" s="246"/>
      <c r="B328" s="247" t="s">
        <v>343</v>
      </c>
      <c r="C328" s="427">
        <v>500</v>
      </c>
      <c r="D328" s="427">
        <v>656.67</v>
      </c>
      <c r="E328" s="248">
        <f>E327</f>
        <v>15.17</v>
      </c>
      <c r="F328" s="178">
        <f>C328*E328</f>
        <v>7585</v>
      </c>
      <c r="G328" s="271">
        <v>7236.09</v>
      </c>
      <c r="H328" s="273">
        <v>0</v>
      </c>
      <c r="I328" s="288"/>
      <c r="J328" s="111">
        <f t="shared" si="19"/>
        <v>7585</v>
      </c>
    </row>
    <row r="329" spans="1:10" s="245" customFormat="1" ht="12.75">
      <c r="A329" s="246"/>
      <c r="B329" s="247" t="s">
        <v>344</v>
      </c>
      <c r="C329" s="427">
        <v>500</v>
      </c>
      <c r="D329" s="427">
        <v>566.77</v>
      </c>
      <c r="E329" s="248">
        <f>E327</f>
        <v>15.17</v>
      </c>
      <c r="F329" s="178">
        <f>C329*E329</f>
        <v>7585</v>
      </c>
      <c r="G329" s="271">
        <v>8297.99</v>
      </c>
      <c r="H329" s="273">
        <v>0</v>
      </c>
      <c r="I329" s="288"/>
      <c r="J329" s="111">
        <f t="shared" si="19"/>
        <v>7585</v>
      </c>
    </row>
    <row r="330" spans="1:10" s="254" customFormat="1" ht="13.5">
      <c r="A330" s="240"/>
      <c r="B330" s="251" t="s">
        <v>341</v>
      </c>
      <c r="C330" s="480">
        <f>SUM(C327:C329)</f>
        <v>1500</v>
      </c>
      <c r="D330" s="480">
        <f>SUM(D327:D329)</f>
        <v>1875.84</v>
      </c>
      <c r="E330" s="252" t="s">
        <v>71</v>
      </c>
      <c r="F330" s="253">
        <f>SUM(F327:F329)</f>
        <v>22755</v>
      </c>
      <c r="G330" s="281">
        <f>SUM(G327:G329)</f>
        <v>22755</v>
      </c>
      <c r="H330" s="293">
        <f>SUM(H327:H329)</f>
        <v>0</v>
      </c>
      <c r="I330" s="289"/>
      <c r="J330" s="111"/>
    </row>
    <row r="331" spans="1:10" s="245" customFormat="1" ht="12.75">
      <c r="A331" s="255"/>
      <c r="B331" s="247" t="s">
        <v>345</v>
      </c>
      <c r="C331" s="427">
        <f>556-50</f>
        <v>506</v>
      </c>
      <c r="D331" s="427">
        <v>857.56</v>
      </c>
      <c r="E331" s="248">
        <f>E328</f>
        <v>15.17</v>
      </c>
      <c r="F331" s="178">
        <f>C331*E331</f>
        <v>7676.0199999999995</v>
      </c>
      <c r="G331" s="271">
        <v>7676.02</v>
      </c>
      <c r="H331" s="273">
        <v>0</v>
      </c>
      <c r="I331" s="288"/>
      <c r="J331" s="111">
        <f t="shared" si="19"/>
        <v>7676.0199999999995</v>
      </c>
    </row>
    <row r="332" spans="1:10" s="245" customFormat="1" ht="12.75">
      <c r="A332" s="255"/>
      <c r="B332" s="247" t="s">
        <v>346</v>
      </c>
      <c r="C332" s="427">
        <f>586-49</f>
        <v>537</v>
      </c>
      <c r="D332" s="427">
        <v>682.01</v>
      </c>
      <c r="E332" s="248">
        <f>E331</f>
        <v>15.17</v>
      </c>
      <c r="F332" s="178">
        <f>C332*E332</f>
        <v>8146.29</v>
      </c>
      <c r="G332" s="271">
        <v>8146.29</v>
      </c>
      <c r="H332" s="273">
        <v>0</v>
      </c>
      <c r="I332" s="288"/>
      <c r="J332" s="111">
        <f t="shared" si="19"/>
        <v>8146.29</v>
      </c>
    </row>
    <row r="333" spans="1:10" s="245" customFormat="1" ht="12.75">
      <c r="A333" s="255"/>
      <c r="B333" s="247" t="s">
        <v>347</v>
      </c>
      <c r="C333" s="427">
        <v>617</v>
      </c>
      <c r="D333" s="427">
        <v>787.89</v>
      </c>
      <c r="E333" s="248">
        <f>E327</f>
        <v>15.17</v>
      </c>
      <c r="F333" s="178">
        <f>C333*E333</f>
        <v>9359.89</v>
      </c>
      <c r="G333" s="271">
        <v>9381.19</v>
      </c>
      <c r="H333" s="273">
        <v>0</v>
      </c>
      <c r="I333" s="288"/>
      <c r="J333" s="111">
        <f t="shared" si="19"/>
        <v>9359.89</v>
      </c>
    </row>
    <row r="334" spans="1:9" s="254" customFormat="1" ht="13.5">
      <c r="A334" s="240"/>
      <c r="B334" s="251" t="s">
        <v>348</v>
      </c>
      <c r="C334" s="480">
        <f>SUM(C331:C333)</f>
        <v>1660</v>
      </c>
      <c r="D334" s="480">
        <f>SUM(D331:D333)</f>
        <v>2327.46</v>
      </c>
      <c r="E334" s="242" t="s">
        <v>132</v>
      </c>
      <c r="F334" s="253">
        <f>SUM(F331:F333)</f>
        <v>25182.199999999997</v>
      </c>
      <c r="G334" s="281">
        <f>SUM(G331:G333)</f>
        <v>25203.5</v>
      </c>
      <c r="H334" s="293">
        <f>SUM(H331:H333)</f>
        <v>0</v>
      </c>
      <c r="I334" s="290"/>
    </row>
    <row r="335" spans="1:9" s="245" customFormat="1" ht="13.5">
      <c r="A335" s="246"/>
      <c r="B335" s="256" t="s">
        <v>349</v>
      </c>
      <c r="C335" s="480">
        <f>C322+C326+C330+C334</f>
        <v>7010</v>
      </c>
      <c r="D335" s="480">
        <f>D322+D326+D330+D334</f>
        <v>9040.07</v>
      </c>
      <c r="E335" s="242" t="s">
        <v>132</v>
      </c>
      <c r="F335" s="253">
        <f>F322+F326+F330+F334</f>
        <v>104878.7</v>
      </c>
      <c r="G335" s="281">
        <f>G322+G326+G330+G334</f>
        <v>104900</v>
      </c>
      <c r="H335" s="293">
        <f>H322+H326+H330+H334</f>
        <v>0</v>
      </c>
      <c r="I335" s="290"/>
    </row>
    <row r="336" spans="1:9" s="111" customFormat="1" ht="12.75">
      <c r="A336" s="115">
        <v>1</v>
      </c>
      <c r="B336" s="130" t="s">
        <v>194</v>
      </c>
      <c r="C336" s="221"/>
      <c r="D336" s="221"/>
      <c r="E336" s="218" t="str">
        <f>E281</f>
        <v>x</v>
      </c>
      <c r="F336" s="178">
        <f>F281</f>
        <v>839120</v>
      </c>
      <c r="G336" s="178">
        <f>G281</f>
        <v>497100</v>
      </c>
      <c r="H336" s="294">
        <f>H281</f>
        <v>342000</v>
      </c>
      <c r="I336" s="291"/>
    </row>
    <row r="337" spans="1:9" s="111" customFormat="1" ht="11.25" customHeight="1">
      <c r="A337" s="115">
        <v>2</v>
      </c>
      <c r="B337" s="129" t="s">
        <v>176</v>
      </c>
      <c r="C337" s="221"/>
      <c r="D337" s="221"/>
      <c r="E337" s="218" t="str">
        <f>E299</f>
        <v>x</v>
      </c>
      <c r="F337" s="178">
        <f>F299</f>
        <v>1362397.6</v>
      </c>
      <c r="G337" s="178">
        <f>G299</f>
        <v>1362400</v>
      </c>
      <c r="H337" s="294">
        <f>H299</f>
        <v>0</v>
      </c>
      <c r="I337" s="291"/>
    </row>
    <row r="338" spans="1:9" s="111" customFormat="1" ht="0.75" customHeight="1" hidden="1">
      <c r="A338" s="115"/>
      <c r="B338" s="129" t="s">
        <v>727</v>
      </c>
      <c r="C338" s="221"/>
      <c r="D338" s="221"/>
      <c r="E338" s="218"/>
      <c r="F338" s="178"/>
      <c r="G338" s="178"/>
      <c r="H338" s="294"/>
      <c r="I338" s="291"/>
    </row>
    <row r="339" spans="1:9" s="111" customFormat="1" ht="12" customHeight="1">
      <c r="A339" s="115">
        <v>3</v>
      </c>
      <c r="B339" s="129" t="s">
        <v>177</v>
      </c>
      <c r="C339" s="221"/>
      <c r="D339" s="221"/>
      <c r="E339" s="218" t="str">
        <f>E317</f>
        <v>x</v>
      </c>
      <c r="F339" s="178">
        <f>F317</f>
        <v>100895.7125</v>
      </c>
      <c r="G339" s="178">
        <f>G317</f>
        <v>99100</v>
      </c>
      <c r="H339" s="294">
        <f>H317</f>
        <v>0</v>
      </c>
      <c r="I339" s="291"/>
    </row>
    <row r="340" spans="1:9" s="111" customFormat="1" ht="26.25" customHeight="1" hidden="1">
      <c r="A340" s="115"/>
      <c r="B340" s="129" t="s">
        <v>727</v>
      </c>
      <c r="C340" s="221"/>
      <c r="D340" s="221"/>
      <c r="E340" s="218"/>
      <c r="F340" s="178"/>
      <c r="G340" s="178"/>
      <c r="H340" s="294"/>
      <c r="I340" s="291"/>
    </row>
    <row r="341" spans="1:9" s="111" customFormat="1" ht="12.75">
      <c r="A341" s="119">
        <v>4</v>
      </c>
      <c r="B341" s="137" t="s">
        <v>178</v>
      </c>
      <c r="C341" s="416"/>
      <c r="D341" s="416"/>
      <c r="E341" s="417" t="str">
        <f>E335</f>
        <v>x</v>
      </c>
      <c r="F341" s="388">
        <f>F335</f>
        <v>104878.7</v>
      </c>
      <c r="G341" s="388">
        <f>G335</f>
        <v>104900</v>
      </c>
      <c r="H341" s="294">
        <f>H335</f>
        <v>0</v>
      </c>
      <c r="I341" s="291"/>
    </row>
    <row r="342" spans="1:9" s="111" customFormat="1" ht="27" customHeight="1" hidden="1">
      <c r="A342" s="127"/>
      <c r="B342" s="129" t="s">
        <v>727</v>
      </c>
      <c r="C342" s="418"/>
      <c r="D342" s="418"/>
      <c r="E342" s="219"/>
      <c r="F342" s="273"/>
      <c r="G342" s="273"/>
      <c r="H342" s="294"/>
      <c r="I342" s="291"/>
    </row>
    <row r="343" spans="1:9" s="111" customFormat="1" ht="12.75">
      <c r="A343" s="127"/>
      <c r="B343" s="175" t="s">
        <v>350</v>
      </c>
      <c r="C343" s="126" t="s">
        <v>132</v>
      </c>
      <c r="D343" s="126" t="s">
        <v>132</v>
      </c>
      <c r="E343" s="126" t="s">
        <v>132</v>
      </c>
      <c r="F343" s="275">
        <f>F336+F337+F339+F341</f>
        <v>2407292.0125</v>
      </c>
      <c r="G343" s="275">
        <f>G336+G337+G339+G341</f>
        <v>2063500</v>
      </c>
      <c r="H343" s="295">
        <f>H336+H337+H339+H341</f>
        <v>342000</v>
      </c>
      <c r="I343" s="292"/>
    </row>
    <row r="344" spans="1:9" s="111" customFormat="1" ht="12.75">
      <c r="A344" s="127"/>
      <c r="B344" s="175"/>
      <c r="C344" s="126"/>
      <c r="D344" s="126"/>
      <c r="E344" s="126"/>
      <c r="F344" s="275"/>
      <c r="G344" s="275"/>
      <c r="H344" s="295"/>
      <c r="I344" s="292"/>
    </row>
    <row r="345" spans="1:5" s="121" customFormat="1" ht="10.5" customHeight="1">
      <c r="A345" s="179"/>
      <c r="B345" s="179"/>
      <c r="C345" s="180"/>
      <c r="D345" s="180"/>
      <c r="E345" s="181"/>
    </row>
    <row r="346" spans="1:9" s="121" customFormat="1" ht="17.25" customHeight="1" hidden="1">
      <c r="A346" s="596" t="s">
        <v>386</v>
      </c>
      <c r="B346" s="596"/>
      <c r="C346" s="596"/>
      <c r="D346" s="596"/>
      <c r="E346" s="596"/>
      <c r="F346" s="596"/>
      <c r="G346" s="596"/>
      <c r="H346" s="596"/>
      <c r="I346" s="596"/>
    </row>
    <row r="347" spans="1:2" s="111" customFormat="1" ht="12.75" hidden="1">
      <c r="A347" s="600" t="s">
        <v>387</v>
      </c>
      <c r="B347" s="600"/>
    </row>
    <row r="348" spans="1:5" s="123" customFormat="1" ht="25.5" hidden="1">
      <c r="A348" s="122" t="s">
        <v>125</v>
      </c>
      <c r="B348" s="122" t="s">
        <v>1</v>
      </c>
      <c r="C348" s="122" t="s">
        <v>123</v>
      </c>
      <c r="D348" s="122" t="s">
        <v>155</v>
      </c>
      <c r="E348" s="124" t="s">
        <v>154</v>
      </c>
    </row>
    <row r="349" spans="1:5" s="123" customFormat="1" ht="12.75" hidden="1">
      <c r="A349" s="122">
        <v>1</v>
      </c>
      <c r="B349" s="122">
        <v>2</v>
      </c>
      <c r="C349" s="122">
        <v>3</v>
      </c>
      <c r="D349" s="122">
        <v>4</v>
      </c>
      <c r="E349" s="122">
        <v>5</v>
      </c>
    </row>
    <row r="350" spans="1:5" s="111" customFormat="1" ht="12.75" hidden="1">
      <c r="A350" s="115">
        <v>1</v>
      </c>
      <c r="B350" s="129"/>
      <c r="C350" s="114"/>
      <c r="D350" s="114"/>
      <c r="E350" s="114"/>
    </row>
    <row r="351" spans="1:5" s="111" customFormat="1" ht="12.75" hidden="1">
      <c r="A351" s="115">
        <v>2</v>
      </c>
      <c r="B351" s="129"/>
      <c r="C351" s="114"/>
      <c r="D351" s="114"/>
      <c r="E351" s="114"/>
    </row>
    <row r="352" spans="1:5" s="111" customFormat="1" ht="14.25" customHeight="1" hidden="1">
      <c r="A352" s="616" t="s">
        <v>158</v>
      </c>
      <c r="B352" s="613"/>
      <c r="C352" s="205">
        <f>SUM(C350:C351)</f>
        <v>0</v>
      </c>
      <c r="D352" s="114" t="s">
        <v>132</v>
      </c>
      <c r="E352" s="205">
        <f>SUM(E350:E351)</f>
        <v>0</v>
      </c>
    </row>
    <row r="353" spans="1:5" s="111" customFormat="1" ht="12.75" hidden="1">
      <c r="A353" s="615" t="s">
        <v>327</v>
      </c>
      <c r="B353" s="615"/>
      <c r="C353" s="114" t="s">
        <v>132</v>
      </c>
      <c r="D353" s="114" t="s">
        <v>132</v>
      </c>
      <c r="E353" s="223">
        <f>E352</f>
        <v>0</v>
      </c>
    </row>
    <row r="354" spans="1:5" s="111" customFormat="1" ht="12.75" hidden="1">
      <c r="A354" s="179"/>
      <c r="B354" s="179"/>
      <c r="C354" s="135"/>
      <c r="D354" s="135"/>
      <c r="E354" s="226"/>
    </row>
    <row r="355" spans="1:9" s="121" customFormat="1" ht="15.75" customHeight="1">
      <c r="A355" s="596" t="s">
        <v>605</v>
      </c>
      <c r="B355" s="596"/>
      <c r="C355" s="596"/>
      <c r="D355" s="596"/>
      <c r="E355" s="596"/>
      <c r="F355" s="596"/>
      <c r="G355" s="596"/>
      <c r="H355" s="596"/>
      <c r="I355" s="596"/>
    </row>
    <row r="356" spans="1:2" s="111" customFormat="1" ht="12.75">
      <c r="A356" s="600" t="s">
        <v>378</v>
      </c>
      <c r="B356" s="600"/>
    </row>
    <row r="357" spans="1:5" s="298" customFormat="1" ht="25.5">
      <c r="A357" s="296" t="s">
        <v>125</v>
      </c>
      <c r="B357" s="296" t="s">
        <v>122</v>
      </c>
      <c r="C357" s="296" t="s">
        <v>196</v>
      </c>
      <c r="D357" s="296" t="s">
        <v>156</v>
      </c>
      <c r="E357" s="297" t="s">
        <v>154</v>
      </c>
    </row>
    <row r="358" spans="1:5" s="298" customFormat="1" ht="12.75">
      <c r="A358" s="296">
        <v>1</v>
      </c>
      <c r="B358" s="296">
        <v>2</v>
      </c>
      <c r="C358" s="296">
        <v>3</v>
      </c>
      <c r="D358" s="296">
        <v>4</v>
      </c>
      <c r="E358" s="296">
        <v>5</v>
      </c>
    </row>
    <row r="359" spans="1:5" s="245" customFormat="1" ht="12.75">
      <c r="A359" s="246">
        <v>1</v>
      </c>
      <c r="B359" s="299" t="s">
        <v>215</v>
      </c>
      <c r="C359" s="248">
        <v>465</v>
      </c>
      <c r="D359" s="249">
        <v>168</v>
      </c>
      <c r="E359" s="178">
        <f>C359*D359</f>
        <v>78120</v>
      </c>
    </row>
    <row r="360" spans="1:5" s="245" customFormat="1" ht="12.75">
      <c r="A360" s="246">
        <v>2</v>
      </c>
      <c r="B360" s="299" t="s">
        <v>216</v>
      </c>
      <c r="C360" s="248">
        <v>1.77</v>
      </c>
      <c r="D360" s="249">
        <f>594*2+1189</f>
        <v>2377</v>
      </c>
      <c r="E360" s="178">
        <f aca="true" t="shared" si="20" ref="E360:E385">C360*D360</f>
        <v>4207.29</v>
      </c>
    </row>
    <row r="361" spans="1:5" s="245" customFormat="1" ht="12.75">
      <c r="A361" s="246">
        <v>3</v>
      </c>
      <c r="B361" s="299" t="s">
        <v>217</v>
      </c>
      <c r="C361" s="248">
        <v>1.68</v>
      </c>
      <c r="D361" s="249">
        <f>1232*2</f>
        <v>2464</v>
      </c>
      <c r="E361" s="178">
        <f t="shared" si="20"/>
        <v>4139.5199999999995</v>
      </c>
    </row>
    <row r="362" spans="1:5" s="245" customFormat="1" ht="12.75" customHeight="1">
      <c r="A362" s="246">
        <v>4</v>
      </c>
      <c r="B362" s="299" t="s">
        <v>218</v>
      </c>
      <c r="C362" s="248">
        <v>1.25</v>
      </c>
      <c r="D362" s="249">
        <f>1228*4</f>
        <v>4912</v>
      </c>
      <c r="E362" s="178">
        <f t="shared" si="20"/>
        <v>6140</v>
      </c>
    </row>
    <row r="363" spans="1:5" s="245" customFormat="1" ht="12.75" hidden="1">
      <c r="A363" s="246">
        <v>5</v>
      </c>
      <c r="B363" s="299" t="s">
        <v>219</v>
      </c>
      <c r="C363" s="248"/>
      <c r="D363" s="249"/>
      <c r="E363" s="178">
        <f t="shared" si="20"/>
        <v>0</v>
      </c>
    </row>
    <row r="364" spans="1:5" s="245" customFormat="1" ht="12.75" hidden="1">
      <c r="A364" s="246">
        <v>6</v>
      </c>
      <c r="B364" s="299" t="s">
        <v>220</v>
      </c>
      <c r="C364" s="248"/>
      <c r="D364" s="249"/>
      <c r="E364" s="178">
        <f t="shared" si="20"/>
        <v>0</v>
      </c>
    </row>
    <row r="365" spans="1:5" s="245" customFormat="1" ht="12.75" hidden="1">
      <c r="A365" s="246">
        <v>7</v>
      </c>
      <c r="B365" s="299" t="s">
        <v>221</v>
      </c>
      <c r="C365" s="248"/>
      <c r="D365" s="249"/>
      <c r="E365" s="178">
        <f t="shared" si="20"/>
        <v>0</v>
      </c>
    </row>
    <row r="366" spans="1:5" s="245" customFormat="1" ht="12.75" hidden="1">
      <c r="A366" s="246">
        <v>8</v>
      </c>
      <c r="B366" s="299" t="s">
        <v>222</v>
      </c>
      <c r="C366" s="248"/>
      <c r="D366" s="249"/>
      <c r="E366" s="178">
        <f t="shared" si="20"/>
        <v>0</v>
      </c>
    </row>
    <row r="367" spans="1:5" s="245" customFormat="1" ht="12.75" hidden="1">
      <c r="A367" s="246">
        <v>9</v>
      </c>
      <c r="B367" s="299" t="s">
        <v>223</v>
      </c>
      <c r="C367" s="248"/>
      <c r="D367" s="249"/>
      <c r="E367" s="178">
        <f t="shared" si="20"/>
        <v>0</v>
      </c>
    </row>
    <row r="368" spans="1:5" s="245" customFormat="1" ht="0.75" customHeight="1" hidden="1">
      <c r="A368" s="246"/>
      <c r="B368" s="439" t="s">
        <v>219</v>
      </c>
      <c r="C368" s="248">
        <v>78.49</v>
      </c>
      <c r="D368" s="249">
        <f>11*12</f>
        <v>132</v>
      </c>
      <c r="E368" s="178"/>
    </row>
    <row r="369" spans="1:5" s="245" customFormat="1" ht="12.75" hidden="1">
      <c r="A369" s="246"/>
      <c r="B369" s="439" t="s">
        <v>220</v>
      </c>
      <c r="C369" s="248">
        <v>82.06</v>
      </c>
      <c r="D369" s="249">
        <f>7*12</f>
        <v>84</v>
      </c>
      <c r="E369" s="178"/>
    </row>
    <row r="370" spans="1:5" s="245" customFormat="1" ht="12.75" hidden="1">
      <c r="A370" s="246"/>
      <c r="B370" s="439" t="s">
        <v>221</v>
      </c>
      <c r="C370" s="248">
        <v>98.45</v>
      </c>
      <c r="D370" s="249">
        <f>4*12</f>
        <v>48</v>
      </c>
      <c r="E370" s="178"/>
    </row>
    <row r="371" spans="1:5" s="245" customFormat="1" ht="12.75">
      <c r="A371" s="246">
        <v>5</v>
      </c>
      <c r="B371" s="299" t="s">
        <v>649</v>
      </c>
      <c r="C371" s="248">
        <v>57.75</v>
      </c>
      <c r="D371" s="482">
        <f>2227+9.86476</f>
        <v>2236.86476</v>
      </c>
      <c r="E371" s="178">
        <f>C371*D371</f>
        <v>129178.93989</v>
      </c>
    </row>
    <row r="372" spans="1:5" s="245" customFormat="1" ht="12.75">
      <c r="A372" s="246">
        <v>6</v>
      </c>
      <c r="B372" s="439" t="s">
        <v>222</v>
      </c>
      <c r="C372" s="248">
        <v>75.41</v>
      </c>
      <c r="D372" s="249">
        <v>15</v>
      </c>
      <c r="E372" s="178">
        <f t="shared" si="20"/>
        <v>1131.1499999999999</v>
      </c>
    </row>
    <row r="373" spans="1:5" s="245" customFormat="1" ht="12.75">
      <c r="A373" s="246">
        <v>7</v>
      </c>
      <c r="B373" s="439" t="s">
        <v>223</v>
      </c>
      <c r="C373" s="248">
        <v>64.74</v>
      </c>
      <c r="D373" s="249">
        <v>15</v>
      </c>
      <c r="E373" s="178">
        <f t="shared" si="20"/>
        <v>971.0999999999999</v>
      </c>
    </row>
    <row r="374" spans="1:5" s="245" customFormat="1" ht="27" customHeight="1">
      <c r="A374" s="246">
        <v>8</v>
      </c>
      <c r="B374" s="156" t="s">
        <v>228</v>
      </c>
      <c r="C374" s="248">
        <v>400</v>
      </c>
      <c r="D374" s="249">
        <v>50</v>
      </c>
      <c r="E374" s="178">
        <f>C374*D374</f>
        <v>20000</v>
      </c>
    </row>
    <row r="375" spans="1:11" s="245" customFormat="1" ht="12.75">
      <c r="A375" s="246">
        <v>9</v>
      </c>
      <c r="B375" s="156" t="s">
        <v>229</v>
      </c>
      <c r="C375" s="248">
        <v>298</v>
      </c>
      <c r="D375" s="249">
        <v>60</v>
      </c>
      <c r="E375" s="178">
        <f t="shared" si="20"/>
        <v>17880</v>
      </c>
      <c r="K375" s="431"/>
    </row>
    <row r="376" spans="1:15" s="245" customFormat="1" ht="41.25" customHeight="1">
      <c r="A376" s="246">
        <v>10</v>
      </c>
      <c r="B376" s="156" t="s">
        <v>230</v>
      </c>
      <c r="C376" s="248">
        <v>4940</v>
      </c>
      <c r="D376" s="249">
        <v>6</v>
      </c>
      <c r="E376" s="178">
        <f t="shared" si="20"/>
        <v>29640</v>
      </c>
      <c r="K376" s="431"/>
      <c r="M376" s="431"/>
      <c r="N376" s="431"/>
      <c r="O376" s="431"/>
    </row>
    <row r="377" spans="1:5" s="245" customFormat="1" ht="25.5">
      <c r="A377" s="246">
        <v>11</v>
      </c>
      <c r="B377" s="156" t="s">
        <v>231</v>
      </c>
      <c r="C377" s="248">
        <v>3900</v>
      </c>
      <c r="D377" s="249">
        <v>6</v>
      </c>
      <c r="E377" s="178">
        <f t="shared" si="20"/>
        <v>23400</v>
      </c>
    </row>
    <row r="378" spans="1:15" s="245" customFormat="1" ht="57" customHeight="1">
      <c r="A378" s="246">
        <v>12</v>
      </c>
      <c r="B378" s="156" t="s">
        <v>224</v>
      </c>
      <c r="C378" s="248">
        <v>8000</v>
      </c>
      <c r="D378" s="249">
        <v>9</v>
      </c>
      <c r="E378" s="178">
        <f>C378*D378</f>
        <v>72000</v>
      </c>
      <c r="K378" s="431"/>
      <c r="M378" s="431"/>
      <c r="N378" s="431"/>
      <c r="O378" s="431"/>
    </row>
    <row r="379" spans="1:5" s="245" customFormat="1" ht="38.25">
      <c r="A379" s="246">
        <v>13</v>
      </c>
      <c r="B379" s="156" t="s">
        <v>622</v>
      </c>
      <c r="C379" s="248">
        <v>3000</v>
      </c>
      <c r="D379" s="249">
        <v>9</v>
      </c>
      <c r="E379" s="178">
        <f>C379*D379</f>
        <v>27000</v>
      </c>
    </row>
    <row r="380" spans="1:15" s="245" customFormat="1" ht="38.25">
      <c r="A380" s="246">
        <v>14</v>
      </c>
      <c r="B380" s="156" t="s">
        <v>225</v>
      </c>
      <c r="C380" s="248">
        <v>21688</v>
      </c>
      <c r="D380" s="249">
        <v>9</v>
      </c>
      <c r="E380" s="178">
        <f>C380*D380</f>
        <v>195192</v>
      </c>
      <c r="K380" s="431"/>
      <c r="M380" s="431"/>
      <c r="N380" s="431"/>
      <c r="O380" s="431"/>
    </row>
    <row r="381" spans="1:5" s="245" customFormat="1" ht="41.25" customHeight="1">
      <c r="A381" s="246">
        <v>15</v>
      </c>
      <c r="B381" s="300" t="s">
        <v>226</v>
      </c>
      <c r="C381" s="248">
        <f>1100</f>
        <v>1100</v>
      </c>
      <c r="D381" s="249">
        <v>12</v>
      </c>
      <c r="E381" s="178">
        <f t="shared" si="20"/>
        <v>13200</v>
      </c>
    </row>
    <row r="382" spans="1:5" s="245" customFormat="1" ht="25.5">
      <c r="A382" s="246">
        <v>16</v>
      </c>
      <c r="B382" s="472" t="s">
        <v>621</v>
      </c>
      <c r="C382" s="473">
        <v>8000</v>
      </c>
      <c r="D382" s="387">
        <v>12</v>
      </c>
      <c r="E382" s="178">
        <f t="shared" si="20"/>
        <v>96000</v>
      </c>
    </row>
    <row r="383" spans="1:5" s="245" customFormat="1" ht="12.75">
      <c r="A383" s="246">
        <v>17</v>
      </c>
      <c r="B383" s="472" t="s">
        <v>647</v>
      </c>
      <c r="C383" s="473">
        <v>28000</v>
      </c>
      <c r="D383" s="387">
        <v>2</v>
      </c>
      <c r="E383" s="388">
        <f t="shared" si="20"/>
        <v>56000</v>
      </c>
    </row>
    <row r="384" spans="1:5" s="245" customFormat="1" ht="25.5">
      <c r="A384" s="246">
        <v>18</v>
      </c>
      <c r="B384" s="472" t="s">
        <v>650</v>
      </c>
      <c r="C384" s="473">
        <v>6000</v>
      </c>
      <c r="D384" s="387">
        <v>1</v>
      </c>
      <c r="E384" s="388">
        <f t="shared" si="20"/>
        <v>6000</v>
      </c>
    </row>
    <row r="385" spans="1:5" s="245" customFormat="1" ht="12.75">
      <c r="A385" s="246">
        <v>19</v>
      </c>
      <c r="B385" s="374" t="s">
        <v>227</v>
      </c>
      <c r="C385" s="473">
        <v>14000</v>
      </c>
      <c r="D385" s="387">
        <v>1</v>
      </c>
      <c r="E385" s="388">
        <f t="shared" si="20"/>
        <v>14000</v>
      </c>
    </row>
    <row r="386" spans="1:5" s="245" customFormat="1" ht="25.5">
      <c r="A386" s="246">
        <v>20</v>
      </c>
      <c r="B386" s="156" t="s">
        <v>729</v>
      </c>
      <c r="C386" s="427">
        <v>1400</v>
      </c>
      <c r="D386" s="393">
        <v>12</v>
      </c>
      <c r="E386" s="273">
        <f>C386*D386</f>
        <v>16800</v>
      </c>
    </row>
    <row r="387" spans="1:5" s="245" customFormat="1" ht="12.75">
      <c r="A387" s="426"/>
      <c r="B387" s="156"/>
      <c r="C387" s="427"/>
      <c r="D387" s="393"/>
      <c r="E387" s="273"/>
    </row>
    <row r="388" spans="1:5" s="245" customFormat="1" ht="14.25" customHeight="1">
      <c r="A388" s="607" t="s">
        <v>158</v>
      </c>
      <c r="B388" s="608"/>
      <c r="C388" s="385"/>
      <c r="D388" s="272" t="s">
        <v>132</v>
      </c>
      <c r="E388" s="394">
        <f>SUM(E359:E386)</f>
        <v>810999.99989</v>
      </c>
    </row>
    <row r="389" spans="1:5" s="245" customFormat="1" ht="12.75">
      <c r="A389" s="246"/>
      <c r="B389" s="257"/>
      <c r="C389" s="249"/>
      <c r="D389" s="249"/>
      <c r="E389" s="301"/>
    </row>
    <row r="390" spans="1:5" s="245" customFormat="1" ht="12.75">
      <c r="A390" s="302"/>
      <c r="B390" s="303"/>
      <c r="C390" s="249"/>
      <c r="D390" s="249"/>
      <c r="E390" s="301"/>
    </row>
    <row r="391" spans="1:5" s="245" customFormat="1" ht="15.75" customHeight="1">
      <c r="A391" s="603" t="s">
        <v>351</v>
      </c>
      <c r="B391" s="604"/>
      <c r="C391" s="386"/>
      <c r="D391" s="387" t="s">
        <v>132</v>
      </c>
      <c r="E391" s="388">
        <v>0</v>
      </c>
    </row>
    <row r="392" spans="1:5" s="245" customFormat="1" ht="15.75" customHeight="1">
      <c r="A392" s="391"/>
      <c r="B392" s="391"/>
      <c r="C392" s="392"/>
      <c r="D392" s="393"/>
      <c r="E392" s="273"/>
    </row>
    <row r="393" spans="1:11" s="254" customFormat="1" ht="12.75">
      <c r="A393" s="605" t="s">
        <v>327</v>
      </c>
      <c r="B393" s="606"/>
      <c r="C393" s="389" t="s">
        <v>132</v>
      </c>
      <c r="D393" s="389" t="s">
        <v>132</v>
      </c>
      <c r="E393" s="390">
        <f>E388+E392</f>
        <v>810999.99989</v>
      </c>
      <c r="J393" s="254">
        <v>811000</v>
      </c>
      <c r="K393" s="384">
        <f>J393-E393</f>
        <v>0.00011000002268701792</v>
      </c>
    </row>
    <row r="394" s="245" customFormat="1" ht="12.75">
      <c r="A394" s="304"/>
    </row>
    <row r="395" spans="1:9" s="254" customFormat="1" ht="12.75" customHeight="1">
      <c r="A395" s="609" t="s">
        <v>606</v>
      </c>
      <c r="B395" s="609"/>
      <c r="C395" s="609"/>
      <c r="D395" s="609"/>
      <c r="E395" s="609"/>
      <c r="F395" s="609"/>
      <c r="G395" s="609"/>
      <c r="H395" s="609"/>
      <c r="I395" s="609"/>
    </row>
    <row r="396" spans="1:2" s="245" customFormat="1" ht="12.75">
      <c r="A396" s="646" t="s">
        <v>392</v>
      </c>
      <c r="B396" s="646"/>
    </row>
    <row r="397" spans="1:5" s="298" customFormat="1" ht="33.75" customHeight="1">
      <c r="A397" s="296" t="s">
        <v>125</v>
      </c>
      <c r="B397" s="296" t="s">
        <v>122</v>
      </c>
      <c r="C397" s="296" t="s">
        <v>196</v>
      </c>
      <c r="D397" s="296" t="s">
        <v>156</v>
      </c>
      <c r="E397" s="297" t="s">
        <v>154</v>
      </c>
    </row>
    <row r="398" spans="1:5" s="298" customFormat="1" ht="12.75">
      <c r="A398" s="296">
        <v>1</v>
      </c>
      <c r="B398" s="296">
        <v>2</v>
      </c>
      <c r="C398" s="296">
        <v>3</v>
      </c>
      <c r="D398" s="305">
        <v>4</v>
      </c>
      <c r="E398" s="306">
        <v>5</v>
      </c>
    </row>
    <row r="399" spans="1:5" s="466" customFormat="1" ht="38.25">
      <c r="A399" s="464">
        <v>1</v>
      </c>
      <c r="B399" s="475" t="s">
        <v>270</v>
      </c>
      <c r="C399" s="465">
        <v>1426</v>
      </c>
      <c r="D399" s="474">
        <v>6</v>
      </c>
      <c r="E399" s="465">
        <f>C399*D399</f>
        <v>8556</v>
      </c>
    </row>
    <row r="400" spans="1:5" s="245" customFormat="1" ht="66.75" customHeight="1">
      <c r="A400" s="246">
        <v>2</v>
      </c>
      <c r="B400" s="156" t="s">
        <v>625</v>
      </c>
      <c r="C400" s="178">
        <v>6424</v>
      </c>
      <c r="D400" s="268">
        <v>1</v>
      </c>
      <c r="E400" s="178">
        <f aca="true" t="shared" si="21" ref="E400:E412">C400*D400</f>
        <v>6424</v>
      </c>
    </row>
    <row r="401" spans="1:5" s="466" customFormat="1" ht="12.75">
      <c r="A401" s="464">
        <v>3</v>
      </c>
      <c r="B401" s="469" t="s">
        <v>271</v>
      </c>
      <c r="C401" s="465">
        <v>3058</v>
      </c>
      <c r="D401" s="474">
        <v>6</v>
      </c>
      <c r="E401" s="465">
        <f t="shared" si="21"/>
        <v>18348</v>
      </c>
    </row>
    <row r="402" spans="1:5" s="466" customFormat="1" ht="12.75">
      <c r="A402" s="464">
        <v>4</v>
      </c>
      <c r="B402" s="469" t="s">
        <v>272</v>
      </c>
      <c r="C402" s="465">
        <v>4900</v>
      </c>
      <c r="D402" s="474">
        <v>6</v>
      </c>
      <c r="E402" s="465">
        <f t="shared" si="21"/>
        <v>29400</v>
      </c>
    </row>
    <row r="403" spans="1:5" s="245" customFormat="1" ht="25.5">
      <c r="A403" s="246">
        <v>5</v>
      </c>
      <c r="B403" s="156" t="s">
        <v>273</v>
      </c>
      <c r="C403" s="178">
        <v>4190</v>
      </c>
      <c r="D403" s="268">
        <v>1</v>
      </c>
      <c r="E403" s="178">
        <f t="shared" si="21"/>
        <v>4190</v>
      </c>
    </row>
    <row r="404" spans="1:5" s="245" customFormat="1" ht="12.75">
      <c r="A404" s="246">
        <v>6</v>
      </c>
      <c r="B404" s="299" t="s">
        <v>265</v>
      </c>
      <c r="C404" s="178">
        <v>59.3</v>
      </c>
      <c r="D404" s="268">
        <v>48</v>
      </c>
      <c r="E404" s="178">
        <f t="shared" si="21"/>
        <v>2846.3999999999996</v>
      </c>
    </row>
    <row r="405" spans="1:10" s="466" customFormat="1" ht="52.5" customHeight="1">
      <c r="A405" s="464">
        <v>7</v>
      </c>
      <c r="B405" s="476" t="s">
        <v>274</v>
      </c>
      <c r="C405" s="465">
        <v>3213.7709</v>
      </c>
      <c r="D405" s="474">
        <v>66</v>
      </c>
      <c r="E405" s="465">
        <f>C405*D405</f>
        <v>212108.8794</v>
      </c>
      <c r="J405" s="466">
        <v>278454.9</v>
      </c>
    </row>
    <row r="406" spans="1:5" s="245" customFormat="1" ht="12.75">
      <c r="A406" s="246">
        <v>8</v>
      </c>
      <c r="B406" s="156" t="s">
        <v>266</v>
      </c>
      <c r="C406" s="178">
        <v>14.5</v>
      </c>
      <c r="D406" s="268">
        <v>150</v>
      </c>
      <c r="E406" s="178">
        <f t="shared" si="21"/>
        <v>2175</v>
      </c>
    </row>
    <row r="407" spans="1:5" s="245" customFormat="1" ht="12.75">
      <c r="A407" s="246">
        <v>9</v>
      </c>
      <c r="B407" s="156" t="s">
        <v>267</v>
      </c>
      <c r="C407" s="178">
        <v>4598</v>
      </c>
      <c r="D407" s="268">
        <v>1</v>
      </c>
      <c r="E407" s="178">
        <f>C407*D407</f>
        <v>4598</v>
      </c>
    </row>
    <row r="408" spans="1:5" s="466" customFormat="1" ht="20.25" customHeight="1">
      <c r="A408" s="464">
        <v>10</v>
      </c>
      <c r="B408" s="469" t="s">
        <v>275</v>
      </c>
      <c r="C408" s="465">
        <v>4703.12</v>
      </c>
      <c r="D408" s="474">
        <v>6</v>
      </c>
      <c r="E408" s="465">
        <f t="shared" si="21"/>
        <v>28218.72</v>
      </c>
    </row>
    <row r="409" spans="1:5" s="245" customFormat="1" ht="12.75">
      <c r="A409" s="246">
        <v>11</v>
      </c>
      <c r="B409" s="440" t="s">
        <v>651</v>
      </c>
      <c r="C409" s="178">
        <v>2200</v>
      </c>
      <c r="D409" s="268">
        <v>3</v>
      </c>
      <c r="E409" s="178">
        <f t="shared" si="21"/>
        <v>6600</v>
      </c>
    </row>
    <row r="410" spans="1:5" s="245" customFormat="1" ht="12.75">
      <c r="A410" s="246">
        <v>12</v>
      </c>
      <c r="B410" s="307" t="s">
        <v>268</v>
      </c>
      <c r="C410" s="178">
        <v>465</v>
      </c>
      <c r="D410" s="268">
        <v>39</v>
      </c>
      <c r="E410" s="178">
        <f t="shared" si="21"/>
        <v>18135</v>
      </c>
    </row>
    <row r="411" spans="1:5" s="245" customFormat="1" ht="43.5" customHeight="1">
      <c r="A411" s="302">
        <v>13</v>
      </c>
      <c r="B411" s="374" t="s">
        <v>269</v>
      </c>
      <c r="C411" s="388">
        <v>1200</v>
      </c>
      <c r="D411" s="432">
        <v>2</v>
      </c>
      <c r="E411" s="388">
        <f t="shared" si="21"/>
        <v>2400</v>
      </c>
    </row>
    <row r="412" spans="1:5" s="245" customFormat="1" ht="12.75">
      <c r="A412" s="426">
        <v>14</v>
      </c>
      <c r="B412" s="156" t="s">
        <v>624</v>
      </c>
      <c r="C412" s="273">
        <v>6000</v>
      </c>
      <c r="D412" s="393">
        <v>1</v>
      </c>
      <c r="E412" s="273">
        <f t="shared" si="21"/>
        <v>6000</v>
      </c>
    </row>
    <row r="413" spans="1:5" s="245" customFormat="1" ht="14.25" customHeight="1">
      <c r="A413" s="607" t="s">
        <v>158</v>
      </c>
      <c r="B413" s="608"/>
      <c r="C413" s="385"/>
      <c r="D413" s="272" t="s">
        <v>132</v>
      </c>
      <c r="E413" s="394">
        <f>SUM(E399:E412)</f>
        <v>349999.9994</v>
      </c>
    </row>
    <row r="414" spans="1:5" s="245" customFormat="1" ht="12.75">
      <c r="A414" s="246"/>
      <c r="B414" s="257"/>
      <c r="C414" s="249"/>
      <c r="D414" s="249"/>
      <c r="E414" s="301"/>
    </row>
    <row r="415" spans="1:5" s="245" customFormat="1" ht="12.75">
      <c r="A415" s="302"/>
      <c r="B415" s="303"/>
      <c r="C415" s="249"/>
      <c r="D415" s="249"/>
      <c r="E415" s="301"/>
    </row>
    <row r="416" spans="1:5" s="245" customFormat="1" ht="15" customHeight="1">
      <c r="A416" s="603" t="s">
        <v>351</v>
      </c>
      <c r="B416" s="604"/>
      <c r="C416" s="386"/>
      <c r="D416" s="387" t="s">
        <v>132</v>
      </c>
      <c r="E416" s="388">
        <v>0</v>
      </c>
    </row>
    <row r="417" spans="1:5" s="245" customFormat="1" ht="15" customHeight="1">
      <c r="A417" s="391"/>
      <c r="B417" s="391"/>
      <c r="C417" s="392"/>
      <c r="D417" s="393"/>
      <c r="E417" s="273"/>
    </row>
    <row r="418" spans="1:11" s="254" customFormat="1" ht="12.75">
      <c r="A418" s="605" t="s">
        <v>327</v>
      </c>
      <c r="B418" s="606"/>
      <c r="C418" s="389" t="s">
        <v>132</v>
      </c>
      <c r="D418" s="389" t="s">
        <v>132</v>
      </c>
      <c r="E418" s="390">
        <f>E413+E416+E417</f>
        <v>349999.9994</v>
      </c>
      <c r="J418" s="254">
        <v>350000</v>
      </c>
      <c r="K418" s="384">
        <f>J418-E418</f>
        <v>0.0006000000284984708</v>
      </c>
    </row>
    <row r="419" s="245" customFormat="1" ht="8.25" customHeight="1">
      <c r="A419" s="304"/>
    </row>
    <row r="420" spans="1:9" s="254" customFormat="1" ht="12.75" customHeight="1" hidden="1">
      <c r="A420" s="609" t="s">
        <v>401</v>
      </c>
      <c r="B420" s="609"/>
      <c r="C420" s="609"/>
      <c r="D420" s="609"/>
      <c r="E420" s="609"/>
      <c r="F420" s="609"/>
      <c r="G420" s="609"/>
      <c r="H420" s="609"/>
      <c r="I420" s="609"/>
    </row>
    <row r="421" spans="1:2" s="111" customFormat="1" ht="12.75" hidden="1">
      <c r="A421" s="600" t="s">
        <v>369</v>
      </c>
      <c r="B421" s="600"/>
    </row>
    <row r="422" spans="1:5" s="123" customFormat="1" ht="25.5" hidden="1">
      <c r="A422" s="122" t="s">
        <v>125</v>
      </c>
      <c r="B422" s="122" t="s">
        <v>122</v>
      </c>
      <c r="C422" s="122" t="s">
        <v>196</v>
      </c>
      <c r="D422" s="147" t="s">
        <v>402</v>
      </c>
      <c r="E422" s="124" t="s">
        <v>154</v>
      </c>
    </row>
    <row r="423" spans="1:5" s="123" customFormat="1" ht="12.75" hidden="1">
      <c r="A423" s="122">
        <v>1</v>
      </c>
      <c r="B423" s="122">
        <v>2</v>
      </c>
      <c r="C423" s="122">
        <v>3</v>
      </c>
      <c r="D423" s="147">
        <v>4</v>
      </c>
      <c r="E423" s="148">
        <v>5</v>
      </c>
    </row>
    <row r="424" spans="1:5" s="111" customFormat="1" ht="12.75" hidden="1">
      <c r="A424" s="115">
        <v>1</v>
      </c>
      <c r="B424" s="129"/>
      <c r="C424" s="114"/>
      <c r="D424" s="114"/>
      <c r="E424" s="114"/>
    </row>
    <row r="425" spans="1:5" s="111" customFormat="1" ht="12.75" hidden="1">
      <c r="A425" s="119">
        <v>2</v>
      </c>
      <c r="B425" s="129"/>
      <c r="C425" s="114"/>
      <c r="D425" s="114"/>
      <c r="E425" s="114"/>
    </row>
    <row r="426" spans="1:5" s="111" customFormat="1" ht="12.75" hidden="1">
      <c r="A426" s="127" t="s">
        <v>328</v>
      </c>
      <c r="B426" s="154"/>
      <c r="C426" s="114"/>
      <c r="D426" s="114"/>
      <c r="E426" s="114"/>
    </row>
    <row r="427" spans="1:5" s="111" customFormat="1" ht="14.25" customHeight="1" hidden="1">
      <c r="A427" s="612" t="s">
        <v>158</v>
      </c>
      <c r="B427" s="613"/>
      <c r="C427" s="205">
        <f>SUM(C424:C426)</f>
        <v>0</v>
      </c>
      <c r="D427" s="114" t="s">
        <v>132</v>
      </c>
      <c r="E427" s="205">
        <f>SUM(E424:E426)</f>
        <v>0</v>
      </c>
    </row>
    <row r="428" spans="1:5" s="111" customFormat="1" ht="12.75" hidden="1">
      <c r="A428" s="115">
        <v>1</v>
      </c>
      <c r="B428" s="129"/>
      <c r="C428" s="114"/>
      <c r="D428" s="114"/>
      <c r="E428" s="205"/>
    </row>
    <row r="429" spans="1:5" s="111" customFormat="1" ht="12.75" hidden="1">
      <c r="A429" s="119">
        <v>2</v>
      </c>
      <c r="B429" s="137"/>
      <c r="C429" s="114"/>
      <c r="D429" s="114"/>
      <c r="E429" s="205"/>
    </row>
    <row r="430" spans="1:5" s="111" customFormat="1" ht="12.75" hidden="1">
      <c r="A430" s="127"/>
      <c r="B430" s="186"/>
      <c r="C430" s="113"/>
      <c r="D430" s="114"/>
      <c r="E430" s="205"/>
    </row>
    <row r="431" spans="1:5" s="111" customFormat="1" ht="14.25" customHeight="1" hidden="1">
      <c r="A431" s="614" t="s">
        <v>198</v>
      </c>
      <c r="B431" s="613"/>
      <c r="C431" s="205">
        <f>SUM(C428:C429)</f>
        <v>0</v>
      </c>
      <c r="D431" s="114" t="s">
        <v>132</v>
      </c>
      <c r="E431" s="205">
        <f>SUM(E428:E429)</f>
        <v>0</v>
      </c>
    </row>
    <row r="432" spans="1:5" s="111" customFormat="1" ht="12.75" hidden="1">
      <c r="A432" s="598" t="s">
        <v>327</v>
      </c>
      <c r="B432" s="599"/>
      <c r="C432" s="114" t="s">
        <v>132</v>
      </c>
      <c r="D432" s="114" t="s">
        <v>132</v>
      </c>
      <c r="E432" s="223">
        <f>E427+E431</f>
        <v>0</v>
      </c>
    </row>
    <row r="433" spans="1:5" s="111" customFormat="1" ht="12.75" hidden="1">
      <c r="A433" s="133"/>
      <c r="B433" s="179"/>
      <c r="C433" s="135"/>
      <c r="D433" s="135"/>
      <c r="E433" s="226"/>
    </row>
    <row r="434" spans="1:5" s="111" customFormat="1" ht="12.75">
      <c r="A434" s="133"/>
      <c r="B434" s="179"/>
      <c r="C434" s="287"/>
      <c r="D434" s="438"/>
      <c r="E434" s="437"/>
    </row>
    <row r="435" spans="1:9" s="121" customFormat="1" ht="11.25" customHeight="1">
      <c r="A435" s="596" t="s">
        <v>607</v>
      </c>
      <c r="B435" s="597"/>
      <c r="C435" s="597"/>
      <c r="D435" s="597"/>
      <c r="E435" s="597"/>
      <c r="F435" s="597"/>
      <c r="G435" s="597"/>
      <c r="H435" s="597"/>
      <c r="I435" s="597"/>
    </row>
    <row r="436" spans="1:9" s="121" customFormat="1" ht="11.25" customHeight="1">
      <c r="A436" s="596" t="s">
        <v>608</v>
      </c>
      <c r="B436" s="597"/>
      <c r="C436" s="597"/>
      <c r="D436" s="597"/>
      <c r="E436" s="597"/>
      <c r="F436" s="597"/>
      <c r="G436" s="597"/>
      <c r="H436" s="597"/>
      <c r="I436" s="597"/>
    </row>
    <row r="437" spans="1:2" s="111" customFormat="1" ht="12.75">
      <c r="A437" s="600" t="s">
        <v>403</v>
      </c>
      <c r="B437" s="600"/>
    </row>
    <row r="438" spans="1:5" s="123" customFormat="1" ht="25.5">
      <c r="A438" s="122" t="s">
        <v>125</v>
      </c>
      <c r="B438" s="122" t="s">
        <v>122</v>
      </c>
      <c r="C438" s="122" t="s">
        <v>123</v>
      </c>
      <c r="D438" s="124" t="s">
        <v>197</v>
      </c>
      <c r="E438" s="124" t="s">
        <v>154</v>
      </c>
    </row>
    <row r="439" spans="1:5" s="123" customFormat="1" ht="12.75">
      <c r="A439" s="122">
        <v>1</v>
      </c>
      <c r="B439" s="122">
        <v>2</v>
      </c>
      <c r="C439" s="122">
        <v>3</v>
      </c>
      <c r="D439" s="122">
        <v>4</v>
      </c>
      <c r="E439" s="122">
        <v>5</v>
      </c>
    </row>
    <row r="440" spans="1:5" s="111" customFormat="1" ht="13.5" customHeight="1">
      <c r="A440" s="115"/>
      <c r="B440" s="129"/>
      <c r="C440" s="153"/>
      <c r="D440" s="153"/>
      <c r="E440" s="153"/>
    </row>
    <row r="441" spans="1:5" s="111" customFormat="1" ht="12.75">
      <c r="A441" s="115"/>
      <c r="B441" s="129"/>
      <c r="C441" s="153"/>
      <c r="D441" s="153"/>
      <c r="E441" s="153"/>
    </row>
    <row r="442" spans="1:5" s="111" customFormat="1" ht="14.25" customHeight="1">
      <c r="A442" s="612" t="s">
        <v>158</v>
      </c>
      <c r="B442" s="613"/>
      <c r="C442" s="205"/>
      <c r="D442" s="114" t="s">
        <v>132</v>
      </c>
      <c r="E442" s="153">
        <v>0</v>
      </c>
    </row>
    <row r="443" spans="1:5" s="245" customFormat="1" ht="15">
      <c r="A443" s="302">
        <v>1</v>
      </c>
      <c r="B443" s="441" t="s">
        <v>695</v>
      </c>
      <c r="C443" s="301">
        <v>4</v>
      </c>
      <c r="D443" s="388">
        <v>19600</v>
      </c>
      <c r="E443" s="388">
        <f>C443*D443</f>
        <v>78400</v>
      </c>
    </row>
    <row r="444" spans="1:5" s="245" customFormat="1" ht="15">
      <c r="A444" s="426">
        <v>2</v>
      </c>
      <c r="B444" s="441" t="s">
        <v>697</v>
      </c>
      <c r="C444" s="301">
        <v>30</v>
      </c>
      <c r="D444" s="273">
        <v>500</v>
      </c>
      <c r="E444" s="388">
        <f aca="true" t="shared" si="22" ref="E444:E449">C444*D444</f>
        <v>15000</v>
      </c>
    </row>
    <row r="445" spans="1:5" s="245" customFormat="1" ht="15">
      <c r="A445" s="426">
        <v>3</v>
      </c>
      <c r="B445" s="441" t="s">
        <v>698</v>
      </c>
      <c r="C445" s="301">
        <v>10</v>
      </c>
      <c r="D445" s="273">
        <v>1400</v>
      </c>
      <c r="E445" s="388">
        <f t="shared" si="22"/>
        <v>14000</v>
      </c>
    </row>
    <row r="446" spans="1:5" s="245" customFormat="1" ht="15">
      <c r="A446" s="302">
        <v>4</v>
      </c>
      <c r="B446" s="441" t="s">
        <v>699</v>
      </c>
      <c r="C446" s="301">
        <v>1</v>
      </c>
      <c r="D446" s="273">
        <v>4000</v>
      </c>
      <c r="E446" s="388">
        <f t="shared" si="22"/>
        <v>4000</v>
      </c>
    </row>
    <row r="447" spans="1:5" s="245" customFormat="1" ht="12.75">
      <c r="A447" s="426">
        <v>5</v>
      </c>
      <c r="B447" s="391" t="s">
        <v>626</v>
      </c>
      <c r="C447" s="301">
        <v>1</v>
      </c>
      <c r="D447" s="273">
        <v>15000</v>
      </c>
      <c r="E447" s="273">
        <f t="shared" si="22"/>
        <v>15000</v>
      </c>
    </row>
    <row r="448" spans="1:5" s="245" customFormat="1" ht="12.75">
      <c r="A448" s="426">
        <v>14</v>
      </c>
      <c r="B448" s="391" t="s">
        <v>645</v>
      </c>
      <c r="C448" s="301">
        <v>10</v>
      </c>
      <c r="D448" s="273">
        <v>1718.48</v>
      </c>
      <c r="E448" s="273">
        <f t="shared" si="22"/>
        <v>17184.8</v>
      </c>
    </row>
    <row r="449" spans="1:5" s="245" customFormat="1" ht="12.75">
      <c r="A449" s="426">
        <v>15</v>
      </c>
      <c r="B449" s="391" t="s">
        <v>646</v>
      </c>
      <c r="C449" s="301">
        <v>10</v>
      </c>
      <c r="D449" s="273">
        <v>2000</v>
      </c>
      <c r="E449" s="273">
        <f t="shared" si="22"/>
        <v>20000</v>
      </c>
    </row>
    <row r="450" spans="1:5" s="111" customFormat="1" ht="14.25" customHeight="1">
      <c r="A450" s="614" t="s">
        <v>198</v>
      </c>
      <c r="B450" s="613"/>
      <c r="C450" s="205">
        <f>SUM(C443:C448)</f>
        <v>56</v>
      </c>
      <c r="D450" s="114" t="s">
        <v>132</v>
      </c>
      <c r="E450" s="178">
        <f>SUM(E443:E449)</f>
        <v>163584.8</v>
      </c>
    </row>
    <row r="451" spans="1:11" s="111" customFormat="1" ht="12.75">
      <c r="A451" s="598" t="s">
        <v>327</v>
      </c>
      <c r="B451" s="599"/>
      <c r="C451" s="114" t="s">
        <v>132</v>
      </c>
      <c r="D451" s="114" t="s">
        <v>132</v>
      </c>
      <c r="E451" s="170">
        <f>E450</f>
        <v>163584.8</v>
      </c>
      <c r="K451" s="375"/>
    </row>
    <row r="452" spans="1:5" s="111" customFormat="1" ht="12.75">
      <c r="A452" s="179"/>
      <c r="B452" s="179"/>
      <c r="C452" s="135"/>
      <c r="D452" s="135"/>
      <c r="E452" s="226"/>
    </row>
    <row r="453" spans="1:9" s="121" customFormat="1" ht="11.25" customHeight="1">
      <c r="A453" s="596" t="s">
        <v>609</v>
      </c>
      <c r="B453" s="597"/>
      <c r="C453" s="597"/>
      <c r="D453" s="597"/>
      <c r="E453" s="597"/>
      <c r="F453" s="597"/>
      <c r="G453" s="597"/>
      <c r="H453" s="597"/>
      <c r="I453" s="597"/>
    </row>
    <row r="454" spans="1:2" s="111" customFormat="1" ht="12.75">
      <c r="A454" s="600" t="s">
        <v>403</v>
      </c>
      <c r="B454" s="600"/>
    </row>
    <row r="455" spans="1:5" s="123" customFormat="1" ht="25.5">
      <c r="A455" s="122" t="s">
        <v>125</v>
      </c>
      <c r="B455" s="122" t="s">
        <v>122</v>
      </c>
      <c r="C455" s="122" t="s">
        <v>123</v>
      </c>
      <c r="D455" s="124" t="s">
        <v>197</v>
      </c>
      <c r="E455" s="124" t="s">
        <v>154</v>
      </c>
    </row>
    <row r="456" spans="1:5" s="123" customFormat="1" ht="12.75">
      <c r="A456" s="122">
        <v>1</v>
      </c>
      <c r="B456" s="122">
        <v>2</v>
      </c>
      <c r="C456" s="122">
        <v>3</v>
      </c>
      <c r="D456" s="122">
        <v>4</v>
      </c>
      <c r="E456" s="122">
        <v>5</v>
      </c>
    </row>
    <row r="457" spans="1:5" s="111" customFormat="1" ht="13.5" customHeight="1">
      <c r="A457" s="115"/>
      <c r="B457" s="129"/>
      <c r="C457" s="153"/>
      <c r="D457" s="153"/>
      <c r="E457" s="153"/>
    </row>
    <row r="458" spans="1:5" s="111" customFormat="1" ht="12.75">
      <c r="A458" s="115"/>
      <c r="B458" s="129"/>
      <c r="C458" s="153"/>
      <c r="D458" s="153"/>
      <c r="E458" s="153"/>
    </row>
    <row r="459" spans="1:5" s="111" customFormat="1" ht="15" customHeight="1">
      <c r="A459" s="612" t="s">
        <v>158</v>
      </c>
      <c r="B459" s="613"/>
      <c r="C459" s="205"/>
      <c r="D459" s="172" t="s">
        <v>132</v>
      </c>
      <c r="E459" s="153">
        <v>0</v>
      </c>
    </row>
    <row r="460" spans="1:5" s="298" customFormat="1" ht="12.75">
      <c r="A460" s="442">
        <v>1</v>
      </c>
      <c r="B460" s="443" t="s">
        <v>692</v>
      </c>
      <c r="C460" s="271">
        <v>1</v>
      </c>
      <c r="D460" s="273">
        <v>50000</v>
      </c>
      <c r="E460" s="444">
        <f>C460*D460</f>
        <v>50000</v>
      </c>
    </row>
    <row r="461" spans="1:5" s="298" customFormat="1" ht="12.75">
      <c r="A461" s="442">
        <v>2</v>
      </c>
      <c r="B461" s="443" t="s">
        <v>693</v>
      </c>
      <c r="C461" s="271">
        <v>1</v>
      </c>
      <c r="D461" s="273">
        <v>30000</v>
      </c>
      <c r="E461" s="444">
        <f>C461*D461</f>
        <v>30000</v>
      </c>
    </row>
    <row r="462" spans="1:5" s="298" customFormat="1" ht="12.75">
      <c r="A462" s="442">
        <v>3</v>
      </c>
      <c r="B462" s="443" t="s">
        <v>694</v>
      </c>
      <c r="C462" s="271">
        <v>1</v>
      </c>
      <c r="D462" s="273">
        <v>30000</v>
      </c>
      <c r="E462" s="444">
        <f>C462*D462</f>
        <v>30000</v>
      </c>
    </row>
    <row r="463" spans="1:5" s="298" customFormat="1" ht="12.75">
      <c r="A463" s="445">
        <v>4</v>
      </c>
      <c r="B463" s="446" t="s">
        <v>696</v>
      </c>
      <c r="C463" s="388">
        <v>2</v>
      </c>
      <c r="D463" s="447">
        <v>33000</v>
      </c>
      <c r="E463" s="444">
        <f>C463*D463</f>
        <v>66000</v>
      </c>
    </row>
    <row r="464" spans="1:5" s="298" customFormat="1" ht="12.75">
      <c r="A464" s="448"/>
      <c r="B464" s="443"/>
      <c r="C464" s="273"/>
      <c r="D464" s="273"/>
      <c r="E464" s="444">
        <f>C464*D464</f>
        <v>0</v>
      </c>
    </row>
    <row r="465" spans="1:5" s="111" customFormat="1" ht="15" customHeight="1">
      <c r="A465" s="610" t="s">
        <v>351</v>
      </c>
      <c r="B465" s="611"/>
      <c r="C465" s="420"/>
      <c r="D465" s="138" t="s">
        <v>132</v>
      </c>
      <c r="E465" s="394">
        <f>SUM(E460:E464)</f>
        <v>176000</v>
      </c>
    </row>
    <row r="466" spans="1:12" s="121" customFormat="1" ht="12.75">
      <c r="A466" s="598" t="s">
        <v>327</v>
      </c>
      <c r="B466" s="599"/>
      <c r="C466" s="159" t="s">
        <v>132</v>
      </c>
      <c r="D466" s="159" t="s">
        <v>132</v>
      </c>
      <c r="E466" s="170">
        <f>E459+E465</f>
        <v>176000</v>
      </c>
      <c r="J466" s="174">
        <f>E450+E465+E526</f>
        <v>541800</v>
      </c>
      <c r="K466" s="121">
        <v>541800</v>
      </c>
      <c r="L466" s="174">
        <f>K466-J466</f>
        <v>0</v>
      </c>
    </row>
    <row r="468" spans="1:9" s="121" customFormat="1" ht="12.75">
      <c r="A468" s="596" t="s">
        <v>610</v>
      </c>
      <c r="B468" s="597"/>
      <c r="C468" s="597"/>
      <c r="D468" s="597"/>
      <c r="E468" s="597"/>
      <c r="F468" s="597"/>
      <c r="G468" s="597"/>
      <c r="H468" s="597"/>
      <c r="I468" s="597"/>
    </row>
    <row r="469" spans="1:9" s="121" customFormat="1" ht="12.75">
      <c r="A469" s="596" t="s">
        <v>611</v>
      </c>
      <c r="B469" s="597"/>
      <c r="C469" s="597"/>
      <c r="D469" s="597"/>
      <c r="E469" s="597"/>
      <c r="F469" s="597"/>
      <c r="G469" s="597"/>
      <c r="H469" s="597"/>
      <c r="I469" s="597"/>
    </row>
    <row r="470" spans="1:2" s="111" customFormat="1" ht="12.75">
      <c r="A470" s="600" t="s">
        <v>394</v>
      </c>
      <c r="B470" s="600"/>
    </row>
    <row r="471" spans="1:5" s="123" customFormat="1" ht="25.5">
      <c r="A471" s="122" t="s">
        <v>125</v>
      </c>
      <c r="B471" s="122" t="s">
        <v>122</v>
      </c>
      <c r="C471" s="122" t="s">
        <v>123</v>
      </c>
      <c r="D471" s="124" t="s">
        <v>197</v>
      </c>
      <c r="E471" s="124" t="s">
        <v>154</v>
      </c>
    </row>
    <row r="472" spans="1:5" s="111" customFormat="1" ht="12.75">
      <c r="A472" s="115"/>
      <c r="B472" s="114">
        <v>1</v>
      </c>
      <c r="C472" s="114">
        <v>2</v>
      </c>
      <c r="D472" s="114">
        <v>3</v>
      </c>
      <c r="E472" s="114">
        <v>4</v>
      </c>
    </row>
    <row r="473" spans="1:5" s="452" customFormat="1" ht="13.5" customHeight="1">
      <c r="A473" s="454"/>
      <c r="B473" s="455" t="s">
        <v>277</v>
      </c>
      <c r="C473" s="453"/>
      <c r="D473" s="451"/>
      <c r="E473" s="451">
        <f>SUM(E474:E497)</f>
        <v>38600</v>
      </c>
    </row>
    <row r="474" spans="1:5" s="111" customFormat="1" ht="13.5" customHeight="1">
      <c r="A474" s="149" t="s">
        <v>475</v>
      </c>
      <c r="B474" s="449" t="s">
        <v>278</v>
      </c>
      <c r="C474" s="153">
        <v>132</v>
      </c>
      <c r="D474" s="153">
        <v>12</v>
      </c>
      <c r="E474" s="153">
        <f aca="true" t="shared" si="23" ref="E474:E488">C474*D474</f>
        <v>1584</v>
      </c>
    </row>
    <row r="475" spans="1:5" s="111" customFormat="1" ht="13.5" customHeight="1">
      <c r="A475" s="115" t="s">
        <v>476</v>
      </c>
      <c r="B475" s="129" t="s">
        <v>652</v>
      </c>
      <c r="C475" s="153">
        <v>9</v>
      </c>
      <c r="D475" s="153">
        <v>22</v>
      </c>
      <c r="E475" s="153">
        <f t="shared" si="23"/>
        <v>198</v>
      </c>
    </row>
    <row r="476" spans="1:5" s="111" customFormat="1" ht="13.5" customHeight="1">
      <c r="A476" s="115" t="s">
        <v>477</v>
      </c>
      <c r="B476" s="129" t="s">
        <v>653</v>
      </c>
      <c r="C476" s="153">
        <v>12</v>
      </c>
      <c r="D476" s="153">
        <v>15.5</v>
      </c>
      <c r="E476" s="153">
        <f t="shared" si="23"/>
        <v>186</v>
      </c>
    </row>
    <row r="477" spans="1:5" s="111" customFormat="1" ht="13.5" customHeight="1">
      <c r="A477" s="115" t="s">
        <v>478</v>
      </c>
      <c r="B477" s="129" t="s">
        <v>279</v>
      </c>
      <c r="C477" s="153">
        <v>20</v>
      </c>
      <c r="D477" s="153">
        <v>590</v>
      </c>
      <c r="E477" s="153">
        <f t="shared" si="23"/>
        <v>11800</v>
      </c>
    </row>
    <row r="478" spans="1:5" s="111" customFormat="1" ht="13.5" customHeight="1">
      <c r="A478" s="149" t="s">
        <v>479</v>
      </c>
      <c r="B478" s="129" t="s">
        <v>280</v>
      </c>
      <c r="C478" s="153">
        <v>4</v>
      </c>
      <c r="D478" s="153">
        <v>950</v>
      </c>
      <c r="E478" s="153">
        <f t="shared" si="23"/>
        <v>3800</v>
      </c>
    </row>
    <row r="479" spans="1:5" s="111" customFormat="1" ht="13.5" customHeight="1">
      <c r="A479" s="115" t="s">
        <v>480</v>
      </c>
      <c r="B479" s="129" t="s">
        <v>654</v>
      </c>
      <c r="C479" s="153">
        <v>6</v>
      </c>
      <c r="D479" s="153">
        <v>135</v>
      </c>
      <c r="E479" s="153">
        <f t="shared" si="23"/>
        <v>810</v>
      </c>
    </row>
    <row r="480" spans="1:5" s="111" customFormat="1" ht="13.5" customHeight="1">
      <c r="A480" s="115" t="s">
        <v>481</v>
      </c>
      <c r="B480" s="129" t="s">
        <v>281</v>
      </c>
      <c r="C480" s="153">
        <v>6</v>
      </c>
      <c r="D480" s="153">
        <v>38</v>
      </c>
      <c r="E480" s="153">
        <f t="shared" si="23"/>
        <v>228</v>
      </c>
    </row>
    <row r="481" spans="1:5" s="111" customFormat="1" ht="13.5" customHeight="1">
      <c r="A481" s="115" t="s">
        <v>482</v>
      </c>
      <c r="B481" s="129" t="s">
        <v>655</v>
      </c>
      <c r="C481" s="153">
        <v>18</v>
      </c>
      <c r="D481" s="153">
        <v>31</v>
      </c>
      <c r="E481" s="153">
        <f t="shared" si="23"/>
        <v>558</v>
      </c>
    </row>
    <row r="482" spans="1:5" s="111" customFormat="1" ht="13.5" customHeight="1">
      <c r="A482" s="149" t="s">
        <v>483</v>
      </c>
      <c r="B482" s="129" t="s">
        <v>656</v>
      </c>
      <c r="C482" s="153">
        <v>10</v>
      </c>
      <c r="D482" s="153">
        <v>104</v>
      </c>
      <c r="E482" s="153">
        <f t="shared" si="23"/>
        <v>1040</v>
      </c>
    </row>
    <row r="483" spans="1:5" s="111" customFormat="1" ht="13.5" customHeight="1">
      <c r="A483" s="115" t="s">
        <v>484</v>
      </c>
      <c r="B483" s="129" t="s">
        <v>282</v>
      </c>
      <c r="C483" s="153">
        <v>78</v>
      </c>
      <c r="D483" s="153">
        <v>69</v>
      </c>
      <c r="E483" s="153">
        <f t="shared" si="23"/>
        <v>5382</v>
      </c>
    </row>
    <row r="484" spans="1:5" s="111" customFormat="1" ht="13.5" customHeight="1">
      <c r="A484" s="115" t="s">
        <v>485</v>
      </c>
      <c r="B484" s="129" t="s">
        <v>283</v>
      </c>
      <c r="C484" s="153">
        <v>15</v>
      </c>
      <c r="D484" s="153">
        <v>124.8</v>
      </c>
      <c r="E484" s="153">
        <f t="shared" si="23"/>
        <v>1872</v>
      </c>
    </row>
    <row r="485" spans="1:5" s="111" customFormat="1" ht="13.5" customHeight="1">
      <c r="A485" s="115" t="s">
        <v>486</v>
      </c>
      <c r="B485" s="129" t="s">
        <v>284</v>
      </c>
      <c r="C485" s="153">
        <v>66</v>
      </c>
      <c r="D485" s="153">
        <v>51</v>
      </c>
      <c r="E485" s="153">
        <f t="shared" si="23"/>
        <v>3366</v>
      </c>
    </row>
    <row r="486" spans="1:5" s="111" customFormat="1" ht="13.5" customHeight="1">
      <c r="A486" s="149" t="s">
        <v>487</v>
      </c>
      <c r="B486" s="129" t="s">
        <v>285</v>
      </c>
      <c r="C486" s="153">
        <v>144</v>
      </c>
      <c r="D486" s="153">
        <v>12</v>
      </c>
      <c r="E486" s="153">
        <f t="shared" si="23"/>
        <v>1728</v>
      </c>
    </row>
    <row r="487" spans="1:5" s="111" customFormat="1" ht="13.5" customHeight="1">
      <c r="A487" s="115" t="s">
        <v>488</v>
      </c>
      <c r="B487" s="129" t="s">
        <v>286</v>
      </c>
      <c r="C487" s="153">
        <v>42</v>
      </c>
      <c r="D487" s="153">
        <v>21</v>
      </c>
      <c r="E487" s="153">
        <f t="shared" si="23"/>
        <v>882</v>
      </c>
    </row>
    <row r="488" spans="1:5" s="111" customFormat="1" ht="12.75" customHeight="1">
      <c r="A488" s="115" t="s">
        <v>489</v>
      </c>
      <c r="B488" s="129" t="s">
        <v>287</v>
      </c>
      <c r="C488" s="153">
        <v>36</v>
      </c>
      <c r="D488" s="153">
        <v>41.3</v>
      </c>
      <c r="E488" s="153">
        <f t="shared" si="23"/>
        <v>1486.8</v>
      </c>
    </row>
    <row r="489" spans="1:5" s="111" customFormat="1" ht="13.5" customHeight="1" hidden="1">
      <c r="A489" s="115"/>
      <c r="B489" s="129" t="s">
        <v>288</v>
      </c>
      <c r="C489" s="153">
        <v>16</v>
      </c>
      <c r="D489" s="153">
        <v>182.1</v>
      </c>
      <c r="E489" s="153"/>
    </row>
    <row r="490" spans="1:5" s="111" customFormat="1" ht="13.5" customHeight="1">
      <c r="A490" s="456" t="s">
        <v>490</v>
      </c>
      <c r="B490" s="129" t="s">
        <v>289</v>
      </c>
      <c r="C490" s="153">
        <v>78</v>
      </c>
      <c r="D490" s="153">
        <v>40.4</v>
      </c>
      <c r="E490" s="153">
        <f>C490*D490</f>
        <v>3151.2</v>
      </c>
    </row>
    <row r="491" spans="1:5" s="111" customFormat="1" ht="15" customHeight="1">
      <c r="A491" s="115" t="s">
        <v>491</v>
      </c>
      <c r="B491" s="129" t="s">
        <v>290</v>
      </c>
      <c r="C491" s="153">
        <v>24</v>
      </c>
      <c r="D491" s="153">
        <v>22</v>
      </c>
      <c r="E491" s="153">
        <f>C491*D491</f>
        <v>528</v>
      </c>
    </row>
    <row r="492" spans="1:5" s="111" customFormat="1" ht="0.75" customHeight="1" hidden="1">
      <c r="A492" s="115"/>
      <c r="B492" s="129" t="s">
        <v>291</v>
      </c>
      <c r="C492" s="153">
        <v>66</v>
      </c>
      <c r="D492" s="153">
        <v>23.06</v>
      </c>
      <c r="E492" s="153"/>
    </row>
    <row r="493" spans="1:5" s="111" customFormat="1" ht="13.5" customHeight="1" hidden="1">
      <c r="A493" s="115"/>
      <c r="B493" s="129" t="s">
        <v>292</v>
      </c>
      <c r="C493" s="153">
        <v>136</v>
      </c>
      <c r="D493" s="153">
        <v>12.08</v>
      </c>
      <c r="E493" s="153"/>
    </row>
    <row r="494" spans="1:5" s="111" customFormat="1" ht="13.5" customHeight="1" hidden="1">
      <c r="A494" s="115"/>
      <c r="B494" s="137" t="s">
        <v>293</v>
      </c>
      <c r="C494" s="153">
        <v>26</v>
      </c>
      <c r="D494" s="153">
        <v>81.78</v>
      </c>
      <c r="E494" s="153"/>
    </row>
    <row r="495" spans="1:5" s="111" customFormat="1" ht="13.5" customHeight="1" hidden="1">
      <c r="A495" s="115"/>
      <c r="B495" s="208" t="s">
        <v>657</v>
      </c>
      <c r="C495" s="457">
        <v>10</v>
      </c>
      <c r="D495" s="153">
        <v>230</v>
      </c>
      <c r="E495" s="153"/>
    </row>
    <row r="496" spans="1:5" s="111" customFormat="1" ht="13.5" customHeight="1" hidden="1">
      <c r="A496" s="115"/>
      <c r="B496" s="208" t="s">
        <v>658</v>
      </c>
      <c r="C496" s="457">
        <v>16</v>
      </c>
      <c r="D496" s="153">
        <v>80</v>
      </c>
      <c r="E496" s="153"/>
    </row>
    <row r="497" spans="1:5" s="111" customFormat="1" ht="13.5" customHeight="1" hidden="1">
      <c r="A497" s="115"/>
      <c r="B497" s="208" t="s">
        <v>659</v>
      </c>
      <c r="C497" s="457">
        <v>16</v>
      </c>
      <c r="D497" s="153">
        <v>120</v>
      </c>
      <c r="E497" s="153"/>
    </row>
    <row r="498" spans="1:5" s="452" customFormat="1" ht="1.5" customHeight="1" hidden="1">
      <c r="A498" s="450"/>
      <c r="B498" s="458" t="s">
        <v>294</v>
      </c>
      <c r="C498" s="451"/>
      <c r="D498" s="451"/>
      <c r="E498" s="451">
        <f>SUM(E499:E503)</f>
        <v>0</v>
      </c>
    </row>
    <row r="499" spans="1:5" s="245" customFormat="1" ht="13.5" customHeight="1" hidden="1">
      <c r="A499" s="246" t="s">
        <v>492</v>
      </c>
      <c r="B499" s="257" t="s">
        <v>295</v>
      </c>
      <c r="C499" s="178">
        <v>10</v>
      </c>
      <c r="D499" s="178">
        <v>150</v>
      </c>
      <c r="E499" s="178"/>
    </row>
    <row r="500" spans="1:5" s="111" customFormat="1" ht="13.5" customHeight="1" hidden="1">
      <c r="A500" s="246" t="s">
        <v>493</v>
      </c>
      <c r="B500" s="257" t="s">
        <v>660</v>
      </c>
      <c r="C500" s="178">
        <v>50</v>
      </c>
      <c r="D500" s="178">
        <v>50</v>
      </c>
      <c r="E500" s="178"/>
    </row>
    <row r="501" spans="1:5" s="111" customFormat="1" ht="13.5" customHeight="1" hidden="1">
      <c r="A501" s="246" t="s">
        <v>494</v>
      </c>
      <c r="B501" s="257" t="s">
        <v>297</v>
      </c>
      <c r="C501" s="178">
        <v>2</v>
      </c>
      <c r="D501" s="178">
        <v>70</v>
      </c>
      <c r="E501" s="178"/>
    </row>
    <row r="502" spans="1:5" s="111" customFormat="1" ht="13.5" customHeight="1" hidden="1">
      <c r="A502" s="115" t="s">
        <v>495</v>
      </c>
      <c r="B502" s="129" t="s">
        <v>298</v>
      </c>
      <c r="C502" s="153">
        <v>190</v>
      </c>
      <c r="D502" s="153">
        <v>270</v>
      </c>
      <c r="E502" s="178"/>
    </row>
    <row r="503" spans="1:5" s="111" customFormat="1" ht="13.5" customHeight="1" hidden="1">
      <c r="A503" s="115" t="s">
        <v>496</v>
      </c>
      <c r="B503" s="129" t="s">
        <v>299</v>
      </c>
      <c r="C503" s="153">
        <v>1000</v>
      </c>
      <c r="D503" s="153">
        <v>2</v>
      </c>
      <c r="E503" s="178"/>
    </row>
    <row r="504" spans="1:8" s="111" customFormat="1" ht="13.5" customHeight="1">
      <c r="A504" s="421"/>
      <c r="B504" s="186"/>
      <c r="C504" s="183"/>
      <c r="D504" s="183"/>
      <c r="E504" s="183"/>
      <c r="G504" s="435"/>
      <c r="H504" s="375"/>
    </row>
    <row r="505" spans="1:8" s="111" customFormat="1" ht="14.25" customHeight="1">
      <c r="A505" s="612" t="s">
        <v>158</v>
      </c>
      <c r="B505" s="611"/>
      <c r="C505" s="420"/>
      <c r="D505" s="138" t="s">
        <v>132</v>
      </c>
      <c r="E505" s="207">
        <f>E473+E498</f>
        <v>38600</v>
      </c>
      <c r="G505" s="435"/>
      <c r="H505" s="375"/>
    </row>
    <row r="506" spans="1:5" s="111" customFormat="1" ht="13.5" customHeight="1">
      <c r="A506" s="149" t="s">
        <v>475</v>
      </c>
      <c r="B506" s="430" t="s">
        <v>627</v>
      </c>
      <c r="C506" s="178">
        <v>153</v>
      </c>
      <c r="D506" s="153">
        <v>60</v>
      </c>
      <c r="E506" s="153">
        <f>C506*D506</f>
        <v>9180</v>
      </c>
    </row>
    <row r="507" spans="1:5" s="111" customFormat="1" ht="12.75">
      <c r="A507" s="115" t="s">
        <v>476</v>
      </c>
      <c r="B507" s="430" t="s">
        <v>628</v>
      </c>
      <c r="C507" s="178">
        <v>149</v>
      </c>
      <c r="D507" s="153">
        <v>25</v>
      </c>
      <c r="E507" s="153">
        <f aca="true" t="shared" si="24" ref="E507:E524">C507*D507</f>
        <v>3725</v>
      </c>
    </row>
    <row r="508" spans="1:5" s="111" customFormat="1" ht="12.75">
      <c r="A508" s="115" t="s">
        <v>477</v>
      </c>
      <c r="B508" s="430" t="s">
        <v>629</v>
      </c>
      <c r="C508" s="178">
        <v>162</v>
      </c>
      <c r="D508" s="153">
        <v>220</v>
      </c>
      <c r="E508" s="153">
        <f t="shared" si="24"/>
        <v>35640</v>
      </c>
    </row>
    <row r="509" spans="1:5" s="111" customFormat="1" ht="25.5">
      <c r="A509" s="115" t="s">
        <v>478</v>
      </c>
      <c r="B509" s="430" t="s">
        <v>630</v>
      </c>
      <c r="C509" s="178">
        <v>151</v>
      </c>
      <c r="D509" s="153">
        <v>420</v>
      </c>
      <c r="E509" s="153">
        <f t="shared" si="24"/>
        <v>63420</v>
      </c>
    </row>
    <row r="510" spans="1:5" s="111" customFormat="1" ht="25.5">
      <c r="A510" s="149" t="s">
        <v>479</v>
      </c>
      <c r="B510" s="430" t="s">
        <v>631</v>
      </c>
      <c r="C510" s="178">
        <v>5</v>
      </c>
      <c r="D510" s="153">
        <v>1579.44</v>
      </c>
      <c r="E510" s="153">
        <f t="shared" si="24"/>
        <v>7897.200000000001</v>
      </c>
    </row>
    <row r="511" spans="1:5" s="111" customFormat="1" ht="25.5">
      <c r="A511" s="115" t="s">
        <v>480</v>
      </c>
      <c r="B511" s="430" t="s">
        <v>632</v>
      </c>
      <c r="C511" s="178">
        <v>198</v>
      </c>
      <c r="D511" s="153">
        <v>15</v>
      </c>
      <c r="E511" s="153">
        <f t="shared" si="24"/>
        <v>2970</v>
      </c>
    </row>
    <row r="512" spans="1:5" s="111" customFormat="1" ht="25.5">
      <c r="A512" s="115" t="s">
        <v>481</v>
      </c>
      <c r="B512" s="430" t="s">
        <v>633</v>
      </c>
      <c r="C512" s="178">
        <v>305</v>
      </c>
      <c r="D512" s="153">
        <v>55</v>
      </c>
      <c r="E512" s="153">
        <f t="shared" si="24"/>
        <v>16775</v>
      </c>
    </row>
    <row r="513" spans="1:5" s="111" customFormat="1" ht="25.5">
      <c r="A513" s="115" t="s">
        <v>482</v>
      </c>
      <c r="B513" s="430" t="s">
        <v>634</v>
      </c>
      <c r="C513" s="178">
        <v>146</v>
      </c>
      <c r="D513" s="153">
        <v>8</v>
      </c>
      <c r="E513" s="153">
        <f t="shared" si="24"/>
        <v>1168</v>
      </c>
    </row>
    <row r="514" spans="1:5" s="111" customFormat="1" ht="25.5">
      <c r="A514" s="149" t="s">
        <v>483</v>
      </c>
      <c r="B514" s="430" t="s">
        <v>635</v>
      </c>
      <c r="C514" s="178">
        <v>115</v>
      </c>
      <c r="D514" s="153">
        <v>100</v>
      </c>
      <c r="E514" s="153">
        <f t="shared" si="24"/>
        <v>11500</v>
      </c>
    </row>
    <row r="515" spans="1:5" s="111" customFormat="1" ht="25.5">
      <c r="A515" s="115" t="s">
        <v>484</v>
      </c>
      <c r="B515" s="430" t="s">
        <v>636</v>
      </c>
      <c r="C515" s="178">
        <v>146</v>
      </c>
      <c r="D515" s="153">
        <v>70</v>
      </c>
      <c r="E515" s="153">
        <f t="shared" si="24"/>
        <v>10220</v>
      </c>
    </row>
    <row r="516" spans="1:5" s="111" customFormat="1" ht="12.75">
      <c r="A516" s="115" t="s">
        <v>485</v>
      </c>
      <c r="B516" s="430" t="s">
        <v>637</v>
      </c>
      <c r="C516" s="178">
        <v>148</v>
      </c>
      <c r="D516" s="153">
        <v>35</v>
      </c>
      <c r="E516" s="153">
        <f t="shared" si="24"/>
        <v>5180</v>
      </c>
    </row>
    <row r="517" spans="1:5" s="111" customFormat="1" ht="12.75">
      <c r="A517" s="115" t="s">
        <v>486</v>
      </c>
      <c r="B517" s="430" t="s">
        <v>638</v>
      </c>
      <c r="C517" s="178">
        <v>146</v>
      </c>
      <c r="D517" s="153">
        <v>25</v>
      </c>
      <c r="E517" s="153">
        <f t="shared" si="24"/>
        <v>3650</v>
      </c>
    </row>
    <row r="518" spans="1:5" s="111" customFormat="1" ht="12.75">
      <c r="A518" s="149" t="s">
        <v>487</v>
      </c>
      <c r="B518" s="430" t="s">
        <v>639</v>
      </c>
      <c r="C518" s="178">
        <v>96</v>
      </c>
      <c r="D518" s="153">
        <v>25</v>
      </c>
      <c r="E518" s="153">
        <f t="shared" si="24"/>
        <v>2400</v>
      </c>
    </row>
    <row r="519" spans="1:5" s="111" customFormat="1" ht="25.5">
      <c r="A519" s="115" t="s">
        <v>488</v>
      </c>
      <c r="B519" s="430" t="s">
        <v>640</v>
      </c>
      <c r="C519" s="178">
        <v>146</v>
      </c>
      <c r="D519" s="153">
        <v>50</v>
      </c>
      <c r="E519" s="153">
        <f t="shared" si="24"/>
        <v>7300</v>
      </c>
    </row>
    <row r="520" spans="1:5" s="111" customFormat="1" ht="25.5">
      <c r="A520" s="115" t="s">
        <v>489</v>
      </c>
      <c r="B520" s="430" t="s">
        <v>641</v>
      </c>
      <c r="C520" s="178">
        <v>201</v>
      </c>
      <c r="D520" s="153">
        <v>45</v>
      </c>
      <c r="E520" s="153">
        <f t="shared" si="24"/>
        <v>9045</v>
      </c>
    </row>
    <row r="521" spans="1:5" s="111" customFormat="1" ht="12.75">
      <c r="A521" s="115" t="s">
        <v>490</v>
      </c>
      <c r="B521" s="430" t="s">
        <v>642</v>
      </c>
      <c r="C521" s="178">
        <v>146</v>
      </c>
      <c r="D521" s="153">
        <v>25</v>
      </c>
      <c r="E521" s="153">
        <f t="shared" si="24"/>
        <v>3650</v>
      </c>
    </row>
    <row r="522" spans="1:5" s="111" customFormat="1" ht="12.75">
      <c r="A522" s="115" t="s">
        <v>491</v>
      </c>
      <c r="B522" s="443" t="s">
        <v>643</v>
      </c>
      <c r="C522" s="178">
        <v>146</v>
      </c>
      <c r="D522" s="153">
        <v>20</v>
      </c>
      <c r="E522" s="153">
        <f t="shared" si="24"/>
        <v>2920</v>
      </c>
    </row>
    <row r="523" spans="1:5" s="111" customFormat="1" ht="12.75">
      <c r="A523" s="119" t="s">
        <v>492</v>
      </c>
      <c r="B523" s="257" t="s">
        <v>276</v>
      </c>
      <c r="C523" s="178">
        <v>105</v>
      </c>
      <c r="D523" s="153">
        <v>15</v>
      </c>
      <c r="E523" s="153">
        <f t="shared" si="24"/>
        <v>1575</v>
      </c>
    </row>
    <row r="524" spans="1:5" s="111" customFormat="1" ht="25.5">
      <c r="A524" s="127" t="s">
        <v>493</v>
      </c>
      <c r="B524" s="471" t="s">
        <v>730</v>
      </c>
      <c r="C524" s="388">
        <v>5</v>
      </c>
      <c r="D524" s="182">
        <v>400</v>
      </c>
      <c r="E524" s="182">
        <f t="shared" si="24"/>
        <v>2000</v>
      </c>
    </row>
    <row r="525" spans="1:5" s="111" customFormat="1" ht="12.75">
      <c r="A525" s="127" t="s">
        <v>494</v>
      </c>
      <c r="B525" s="471" t="s">
        <v>731</v>
      </c>
      <c r="C525" s="388">
        <v>5</v>
      </c>
      <c r="D525" s="182">
        <v>400</v>
      </c>
      <c r="E525" s="182">
        <f>C525*D525</f>
        <v>2000</v>
      </c>
    </row>
    <row r="526" spans="1:10" s="111" customFormat="1" ht="15" customHeight="1">
      <c r="A526" s="647" t="s">
        <v>351</v>
      </c>
      <c r="B526" s="648"/>
      <c r="C526" s="408"/>
      <c r="D526" s="172" t="s">
        <v>132</v>
      </c>
      <c r="E526" s="388">
        <f>SUM(E506:E525)</f>
        <v>202215.2</v>
      </c>
      <c r="G526" s="375"/>
      <c r="H526" s="375"/>
      <c r="J526" s="375"/>
    </row>
    <row r="527" spans="1:5" s="111" customFormat="1" ht="15" customHeight="1">
      <c r="A527" s="419"/>
      <c r="B527" s="419"/>
      <c r="C527" s="215"/>
      <c r="D527" s="173"/>
      <c r="E527" s="275"/>
    </row>
    <row r="528" spans="1:5" s="121" customFormat="1" ht="12.75">
      <c r="A528" s="641" t="s">
        <v>327</v>
      </c>
      <c r="B528" s="642"/>
      <c r="C528" s="409" t="s">
        <v>132</v>
      </c>
      <c r="D528" s="409" t="s">
        <v>132</v>
      </c>
      <c r="E528" s="410">
        <f>E526+E505</f>
        <v>240815.2</v>
      </c>
    </row>
    <row r="529" spans="1:5" s="121" customFormat="1" ht="12.75">
      <c r="A529" s="179"/>
      <c r="B529" s="179"/>
      <c r="C529" s="180"/>
      <c r="D529" s="180"/>
      <c r="E529" s="181"/>
    </row>
    <row r="530" spans="1:5" s="121" customFormat="1" ht="0.75" customHeight="1">
      <c r="A530" s="179"/>
      <c r="B530" s="179"/>
      <c r="C530" s="180"/>
      <c r="D530" s="180"/>
      <c r="E530" s="181"/>
    </row>
    <row r="531" spans="1:9" s="111" customFormat="1" ht="12.75" hidden="1">
      <c r="A531" s="596" t="s">
        <v>612</v>
      </c>
      <c r="B531" s="597"/>
      <c r="C531" s="597"/>
      <c r="D531" s="597"/>
      <c r="E531" s="597"/>
      <c r="F531" s="597"/>
      <c r="G531" s="597"/>
      <c r="H531" s="597"/>
      <c r="I531" s="597"/>
    </row>
    <row r="532" spans="1:5" s="123" customFormat="1" ht="25.5" hidden="1">
      <c r="A532" s="122" t="s">
        <v>125</v>
      </c>
      <c r="B532" s="122" t="s">
        <v>122</v>
      </c>
      <c r="C532" s="122" t="s">
        <v>123</v>
      </c>
      <c r="D532" s="124" t="s">
        <v>197</v>
      </c>
      <c r="E532" s="124" t="s">
        <v>154</v>
      </c>
    </row>
    <row r="533" spans="1:5" s="111" customFormat="1" ht="12.75" hidden="1">
      <c r="A533" s="115"/>
      <c r="B533" s="114">
        <v>1</v>
      </c>
      <c r="C533" s="114">
        <v>2</v>
      </c>
      <c r="D533" s="114">
        <v>3</v>
      </c>
      <c r="E533" s="114">
        <v>4</v>
      </c>
    </row>
    <row r="534" spans="1:5" s="111" customFormat="1" ht="7.5" customHeight="1" hidden="1">
      <c r="A534" s="115"/>
      <c r="B534" s="129"/>
      <c r="C534" s="114"/>
      <c r="D534" s="114"/>
      <c r="E534" s="158"/>
    </row>
    <row r="535" spans="1:5" s="111" customFormat="1" ht="14.25" customHeight="1" hidden="1">
      <c r="A535" s="614" t="s">
        <v>324</v>
      </c>
      <c r="B535" s="613"/>
      <c r="C535" s="205">
        <f>SUM(C534:C534)</f>
        <v>0</v>
      </c>
      <c r="D535" s="114" t="s">
        <v>132</v>
      </c>
      <c r="E535" s="158">
        <f>SUM(E534:E534)</f>
        <v>0</v>
      </c>
    </row>
    <row r="536" spans="1:5" s="111" customFormat="1" ht="12.75" hidden="1">
      <c r="A536" s="115" t="s">
        <v>458</v>
      </c>
      <c r="B536" s="129"/>
      <c r="C536" s="114"/>
      <c r="D536" s="114"/>
      <c r="E536" s="205"/>
    </row>
    <row r="537" spans="1:5" s="111" customFormat="1" ht="14.25" customHeight="1" hidden="1">
      <c r="A537" s="657" t="s">
        <v>198</v>
      </c>
      <c r="B537" s="648"/>
      <c r="C537" s="205">
        <f>SUM(C536:C536)</f>
        <v>0</v>
      </c>
      <c r="D537" s="114" t="s">
        <v>132</v>
      </c>
      <c r="E537" s="205">
        <f>SUM(E536:E536)</f>
        <v>0</v>
      </c>
    </row>
    <row r="538" spans="1:5" s="111" customFormat="1" ht="12.75" hidden="1">
      <c r="A538" s="615" t="s">
        <v>327</v>
      </c>
      <c r="B538" s="615"/>
      <c r="C538" s="113" t="s">
        <v>132</v>
      </c>
      <c r="D538" s="114" t="s">
        <v>132</v>
      </c>
      <c r="E538" s="170">
        <f>E535+E537</f>
        <v>0</v>
      </c>
    </row>
    <row r="539" spans="1:6" s="111" customFormat="1" ht="12.75" hidden="1">
      <c r="A539" s="601" t="s">
        <v>421</v>
      </c>
      <c r="B539" s="601"/>
      <c r="C539" s="601"/>
      <c r="D539" s="601"/>
      <c r="E539" s="601"/>
      <c r="F539" s="308" t="s">
        <v>422</v>
      </c>
    </row>
    <row r="540" spans="1:9" s="111" customFormat="1" ht="12.75" customHeight="1" hidden="1">
      <c r="A540" s="179"/>
      <c r="B540" s="602" t="s">
        <v>423</v>
      </c>
      <c r="C540" s="602" t="s">
        <v>424</v>
      </c>
      <c r="D540" s="602" t="s">
        <v>425</v>
      </c>
      <c r="E540" s="226"/>
      <c r="F540" s="649" t="s">
        <v>423</v>
      </c>
      <c r="G540" s="650"/>
      <c r="H540" s="665" t="s">
        <v>424</v>
      </c>
      <c r="I540" s="665" t="s">
        <v>426</v>
      </c>
    </row>
    <row r="541" spans="1:9" s="111" customFormat="1" ht="12.75" hidden="1">
      <c r="A541" s="179"/>
      <c r="B541" s="602"/>
      <c r="C541" s="602"/>
      <c r="D541" s="602"/>
      <c r="E541" s="226"/>
      <c r="F541" s="651"/>
      <c r="G541" s="652"/>
      <c r="H541" s="666"/>
      <c r="I541" s="666"/>
    </row>
    <row r="542" spans="1:9" s="111" customFormat="1" ht="12.75" hidden="1">
      <c r="A542" s="179"/>
      <c r="B542" s="602"/>
      <c r="C542" s="602"/>
      <c r="D542" s="602"/>
      <c r="E542" s="226"/>
      <c r="F542" s="653"/>
      <c r="G542" s="654"/>
      <c r="H542" s="667"/>
      <c r="I542" s="667"/>
    </row>
    <row r="543" spans="1:9" s="111" customFormat="1" ht="12.75" hidden="1">
      <c r="A543" s="179"/>
      <c r="B543" s="309">
        <v>1</v>
      </c>
      <c r="C543" s="309">
        <v>2</v>
      </c>
      <c r="D543" s="309">
        <v>3</v>
      </c>
      <c r="E543" s="226"/>
      <c r="F543" s="655">
        <v>1</v>
      </c>
      <c r="G543" s="656"/>
      <c r="H543" s="309">
        <v>2</v>
      </c>
      <c r="I543" s="309">
        <v>3</v>
      </c>
    </row>
    <row r="544" spans="1:9" s="111" customFormat="1" ht="56.25" customHeight="1" hidden="1">
      <c r="A544" s="179"/>
      <c r="B544" s="310" t="s">
        <v>732</v>
      </c>
      <c r="C544" s="250" t="s">
        <v>109</v>
      </c>
      <c r="D544" s="250">
        <v>103</v>
      </c>
      <c r="E544" s="226"/>
      <c r="F544" s="659" t="s">
        <v>732</v>
      </c>
      <c r="G544" s="660"/>
      <c r="H544" s="250"/>
      <c r="I544" s="250">
        <v>103</v>
      </c>
    </row>
    <row r="545" spans="1:9" s="111" customFormat="1" ht="57.75" customHeight="1" hidden="1">
      <c r="A545" s="179"/>
      <c r="B545" s="374" t="s">
        <v>733</v>
      </c>
      <c r="C545" s="313" t="s">
        <v>109</v>
      </c>
      <c r="D545" s="313">
        <v>115</v>
      </c>
      <c r="E545" s="226"/>
      <c r="F545" s="659" t="s">
        <v>427</v>
      </c>
      <c r="G545" s="660"/>
      <c r="H545" s="250" t="s">
        <v>428</v>
      </c>
      <c r="I545" s="250">
        <v>4</v>
      </c>
    </row>
    <row r="546" spans="1:9" s="111" customFormat="1" ht="52.5" customHeight="1" hidden="1">
      <c r="A546" s="179"/>
      <c r="B546" s="250" t="s">
        <v>429</v>
      </c>
      <c r="C546" s="250" t="s">
        <v>430</v>
      </c>
      <c r="D546" s="250">
        <v>146</v>
      </c>
      <c r="E546" s="226"/>
      <c r="F546" s="659" t="s">
        <v>733</v>
      </c>
      <c r="G546" s="660"/>
      <c r="H546" s="250"/>
      <c r="I546" s="250">
        <v>115</v>
      </c>
    </row>
    <row r="547" spans="1:9" s="111" customFormat="1" ht="27" customHeight="1" hidden="1">
      <c r="A547" s="179"/>
      <c r="B547" s="250" t="s">
        <v>432</v>
      </c>
      <c r="C547" s="250" t="s">
        <v>430</v>
      </c>
      <c r="D547" s="250">
        <v>190</v>
      </c>
      <c r="E547" s="226"/>
      <c r="F547" s="659" t="s">
        <v>431</v>
      </c>
      <c r="G547" s="660"/>
      <c r="H547" s="250" t="s">
        <v>428</v>
      </c>
      <c r="I547" s="250">
        <v>4</v>
      </c>
    </row>
    <row r="548" spans="1:9" s="111" customFormat="1" ht="12.75" hidden="1">
      <c r="A548" s="179"/>
      <c r="B548" s="250" t="s">
        <v>433</v>
      </c>
      <c r="C548" s="250" t="s">
        <v>434</v>
      </c>
      <c r="D548" s="250">
        <v>247</v>
      </c>
      <c r="E548" s="226"/>
      <c r="F548" s="659" t="s">
        <v>433</v>
      </c>
      <c r="G548" s="660"/>
      <c r="H548" s="250" t="s">
        <v>109</v>
      </c>
      <c r="I548" s="250">
        <v>247</v>
      </c>
    </row>
    <row r="549" spans="1:9" s="111" customFormat="1" ht="26.25" customHeight="1" hidden="1" thickBot="1">
      <c r="A549" s="179"/>
      <c r="B549" s="250" t="s">
        <v>436</v>
      </c>
      <c r="C549" s="250" t="s">
        <v>109</v>
      </c>
      <c r="D549" s="276">
        <f>D544*D546*D548</f>
        <v>3714386</v>
      </c>
      <c r="E549" s="226"/>
      <c r="F549" s="661" t="s">
        <v>435</v>
      </c>
      <c r="G549" s="662"/>
      <c r="H549" s="311" t="s">
        <v>109</v>
      </c>
      <c r="I549" s="312">
        <f>I545*I548*I544+I546*I547*I548</f>
        <v>215384</v>
      </c>
    </row>
    <row r="550" spans="1:9" s="111" customFormat="1" ht="15.75" customHeight="1" hidden="1" thickBot="1">
      <c r="A550" s="179"/>
      <c r="B550" s="250" t="s">
        <v>438</v>
      </c>
      <c r="C550" s="250" t="s">
        <v>109</v>
      </c>
      <c r="D550" s="276">
        <f>D545*D547*D548</f>
        <v>5396950</v>
      </c>
      <c r="E550" s="226"/>
      <c r="F550" s="663" t="s">
        <v>437</v>
      </c>
      <c r="G550" s="664"/>
      <c r="H550" s="340" t="s">
        <v>109</v>
      </c>
      <c r="I550" s="341">
        <f>I549</f>
        <v>215384</v>
      </c>
    </row>
    <row r="551" spans="1:5" s="111" customFormat="1" ht="12.75" hidden="1">
      <c r="A551" s="179"/>
      <c r="B551" s="250" t="s">
        <v>439</v>
      </c>
      <c r="C551" s="250" t="s">
        <v>440</v>
      </c>
      <c r="D551" s="335">
        <v>0.3</v>
      </c>
      <c r="E551" s="226"/>
    </row>
    <row r="552" spans="1:5" s="111" customFormat="1" ht="25.5" hidden="1">
      <c r="A552" s="179"/>
      <c r="B552" s="300" t="s">
        <v>441</v>
      </c>
      <c r="C552" s="313" t="s">
        <v>109</v>
      </c>
      <c r="D552" s="314">
        <f>(D549+D550)-(D549+D550)*D551</f>
        <v>6377935.2</v>
      </c>
      <c r="E552" s="226"/>
    </row>
    <row r="553" spans="1:5" s="111" customFormat="1" ht="13.5" hidden="1" thickBot="1">
      <c r="A553" s="179"/>
      <c r="B553" s="336" t="s">
        <v>442</v>
      </c>
      <c r="C553" s="337" t="s">
        <v>109</v>
      </c>
      <c r="D553" s="338">
        <f>SUM(D552)</f>
        <v>6377935.2</v>
      </c>
      <c r="E553" s="226"/>
    </row>
    <row r="554" spans="1:5" s="111" customFormat="1" ht="6" customHeight="1" hidden="1">
      <c r="A554" s="179"/>
      <c r="B554" s="288"/>
      <c r="C554" s="288"/>
      <c r="D554" s="288"/>
      <c r="E554" s="226"/>
    </row>
    <row r="555" spans="1:5" s="111" customFormat="1" ht="8.25" customHeight="1" thickBot="1">
      <c r="A555" s="179"/>
      <c r="B555" s="315"/>
      <c r="C555" s="316"/>
      <c r="D555" s="317"/>
      <c r="E555" s="226"/>
    </row>
    <row r="556" ht="13.5" hidden="1" thickBot="1"/>
    <row r="557" spans="1:7" ht="12.75">
      <c r="A557" s="318" t="s">
        <v>125</v>
      </c>
      <c r="B557" s="319" t="s">
        <v>443</v>
      </c>
      <c r="C557" s="320" t="s">
        <v>444</v>
      </c>
      <c r="D557" s="320" t="s">
        <v>445</v>
      </c>
      <c r="E557" s="321" t="s">
        <v>446</v>
      </c>
      <c r="F557" s="322"/>
      <c r="G557" s="322"/>
    </row>
    <row r="558" spans="1:7" ht="12" customHeight="1">
      <c r="A558" s="323">
        <v>1</v>
      </c>
      <c r="B558" s="234">
        <v>2</v>
      </c>
      <c r="C558" s="234">
        <v>3</v>
      </c>
      <c r="D558" s="234">
        <v>4</v>
      </c>
      <c r="E558" s="324">
        <v>5</v>
      </c>
      <c r="F558" s="325"/>
      <c r="G558" s="325"/>
    </row>
    <row r="559" spans="1:7" ht="27" customHeight="1" hidden="1">
      <c r="A559" s="326">
        <v>1</v>
      </c>
      <c r="B559" s="266" t="s">
        <v>447</v>
      </c>
      <c r="C559" s="327">
        <f>C561+C562+C563</f>
        <v>0</v>
      </c>
      <c r="D559" s="327">
        <f>D561+D562+D563</f>
        <v>0</v>
      </c>
      <c r="E559" s="328">
        <f>C559+D559</f>
        <v>0</v>
      </c>
      <c r="F559" s="325"/>
      <c r="G559" s="325"/>
    </row>
    <row r="560" spans="1:7" ht="12.75" hidden="1">
      <c r="A560" s="594" t="s">
        <v>448</v>
      </c>
      <c r="B560" s="595"/>
      <c r="C560" s="234"/>
      <c r="D560" s="234"/>
      <c r="E560" s="329"/>
      <c r="F560" s="325"/>
      <c r="G560" s="325"/>
    </row>
    <row r="561" spans="1:7" ht="38.25" hidden="1">
      <c r="A561" s="330" t="s">
        <v>449</v>
      </c>
      <c r="B561" s="128" t="s">
        <v>450</v>
      </c>
      <c r="C561" s="331"/>
      <c r="D561" s="331"/>
      <c r="E561" s="329"/>
      <c r="F561" s="325"/>
      <c r="G561" s="325"/>
    </row>
    <row r="562" spans="1:7" ht="26.25" customHeight="1" hidden="1">
      <c r="A562" s="330" t="s">
        <v>451</v>
      </c>
      <c r="B562" s="128" t="s">
        <v>452</v>
      </c>
      <c r="C562" s="331"/>
      <c r="D562" s="331"/>
      <c r="E562" s="329"/>
      <c r="F562" s="325"/>
      <c r="G562" s="325"/>
    </row>
    <row r="563" spans="1:7" ht="26.25" customHeight="1" hidden="1">
      <c r="A563" s="332" t="s">
        <v>453</v>
      </c>
      <c r="B563" s="128" t="s">
        <v>454</v>
      </c>
      <c r="C563" s="331"/>
      <c r="D563" s="331"/>
      <c r="E563" s="329"/>
      <c r="F563" s="325"/>
      <c r="G563" s="325"/>
    </row>
    <row r="564" spans="1:7" ht="44.25" customHeight="1">
      <c r="A564" s="326">
        <v>1</v>
      </c>
      <c r="B564" s="266" t="s">
        <v>735</v>
      </c>
      <c r="C564" s="351">
        <f>C566</f>
        <v>11400800.001017295</v>
      </c>
      <c r="D564" s="351">
        <f>D566</f>
        <v>21699400.00250384</v>
      </c>
      <c r="E564" s="351">
        <f>C564+D564</f>
        <v>33100200.003521133</v>
      </c>
      <c r="F564" s="325"/>
      <c r="G564" s="325"/>
    </row>
    <row r="565" spans="1:7" ht="12.75">
      <c r="A565" s="594" t="s">
        <v>448</v>
      </c>
      <c r="B565" s="595"/>
      <c r="C565" s="376"/>
      <c r="D565" s="376"/>
      <c r="E565" s="360"/>
      <c r="F565" s="325"/>
      <c r="G565" s="325"/>
    </row>
    <row r="566" spans="1:7" ht="25.5">
      <c r="A566" s="330" t="s">
        <v>736</v>
      </c>
      <c r="B566" s="128" t="s">
        <v>737</v>
      </c>
      <c r="C566" s="342">
        <f>I33+F95+E108+E170+E184+E196+G246+G336+G337+G339+G341+E393+E418+E505+E535+0.01</f>
        <v>11400800.001017295</v>
      </c>
      <c r="D566" s="342">
        <f>I63+E113+H336+E450+E465+E526+I52+0.01</f>
        <v>21699400.00250384</v>
      </c>
      <c r="E566" s="351">
        <f>C566+D566</f>
        <v>33100200.003521133</v>
      </c>
      <c r="F566" s="424"/>
      <c r="G566" s="325"/>
    </row>
    <row r="567" spans="1:7" s="407" customFormat="1" ht="24" customHeight="1" hidden="1">
      <c r="A567" s="405"/>
      <c r="B567" s="422"/>
      <c r="C567" s="423"/>
      <c r="D567" s="423"/>
      <c r="E567" s="423"/>
      <c r="F567" s="322"/>
      <c r="G567" s="322"/>
    </row>
    <row r="568" spans="1:7" ht="13.5" thickBot="1">
      <c r="A568" s="333"/>
      <c r="B568" s="334" t="s">
        <v>456</v>
      </c>
      <c r="C568" s="362">
        <f>C564</f>
        <v>11400800.001017295</v>
      </c>
      <c r="D568" s="362">
        <f>D564+D567</f>
        <v>21699400.00250384</v>
      </c>
      <c r="E568" s="362">
        <f>C568+D568</f>
        <v>33100200.003521133</v>
      </c>
      <c r="F568" s="325"/>
      <c r="G568" s="325"/>
    </row>
    <row r="569" spans="1:5" s="121" customFormat="1" ht="12.75">
      <c r="A569" s="179"/>
      <c r="B569" s="179"/>
      <c r="C569" s="180"/>
      <c r="D569" s="180"/>
      <c r="E569" s="181"/>
    </row>
    <row r="570" spans="1:8" ht="15">
      <c r="A570" s="1" t="s">
        <v>406</v>
      </c>
      <c r="B570" s="7"/>
      <c r="C570" s="562"/>
      <c r="D570" s="562"/>
      <c r="F570" s="658" t="s">
        <v>691</v>
      </c>
      <c r="G570" s="658"/>
      <c r="H570" s="658"/>
    </row>
    <row r="571" spans="1:3" ht="15">
      <c r="A571" s="1"/>
      <c r="B571" s="7"/>
      <c r="C571" s="5"/>
    </row>
    <row r="572" spans="1:8" ht="15">
      <c r="A572" s="1" t="s">
        <v>61</v>
      </c>
      <c r="B572" s="7"/>
      <c r="C572" s="562"/>
      <c r="D572" s="562"/>
      <c r="F572" s="658" t="s">
        <v>207</v>
      </c>
      <c r="G572" s="658"/>
      <c r="H572" s="658"/>
    </row>
    <row r="573" spans="1:3" ht="15">
      <c r="A573" s="1"/>
      <c r="B573" s="7"/>
      <c r="C573" s="5"/>
    </row>
    <row r="574" spans="1:8" ht="15">
      <c r="A574" s="1" t="s">
        <v>183</v>
      </c>
      <c r="B574" s="7"/>
      <c r="C574" s="562"/>
      <c r="D574" s="562"/>
      <c r="F574" s="658" t="s">
        <v>207</v>
      </c>
      <c r="G574" s="658"/>
      <c r="H574" s="658"/>
    </row>
    <row r="575" spans="1:1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>
      <c r="A576" s="1" t="s">
        <v>184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8" spans="1:2" ht="14.25" customHeight="1">
      <c r="A578" s="645" t="s">
        <v>396</v>
      </c>
      <c r="B578" s="645"/>
    </row>
    <row r="579" spans="1:8" ht="15">
      <c r="A579" s="1" t="s">
        <v>397</v>
      </c>
      <c r="B579" s="7"/>
      <c r="C579" s="562"/>
      <c r="D579" s="562"/>
      <c r="F579" s="658"/>
      <c r="G579" s="658"/>
      <c r="H579" s="658"/>
    </row>
  </sheetData>
  <sheetProtection/>
  <mergeCells count="176">
    <mergeCell ref="A52:B52"/>
    <mergeCell ref="A6:I6"/>
    <mergeCell ref="C579:D579"/>
    <mergeCell ref="F579:H579"/>
    <mergeCell ref="C570:D570"/>
    <mergeCell ref="F570:H570"/>
    <mergeCell ref="C572:D572"/>
    <mergeCell ref="C574:D574"/>
    <mergeCell ref="A247:I247"/>
    <mergeCell ref="A253:B253"/>
    <mergeCell ref="A257:B257"/>
    <mergeCell ref="A1:I1"/>
    <mergeCell ref="A2:I2"/>
    <mergeCell ref="A230:B230"/>
    <mergeCell ref="C230:I230"/>
    <mergeCell ref="A231:I231"/>
    <mergeCell ref="A217:B217"/>
    <mergeCell ref="A223:B223"/>
    <mergeCell ref="A227:B227"/>
    <mergeCell ref="A4:I4"/>
    <mergeCell ref="A187:B187"/>
    <mergeCell ref="A214:B214"/>
    <mergeCell ref="A245:B245"/>
    <mergeCell ref="C214:I214"/>
    <mergeCell ref="A232:I232"/>
    <mergeCell ref="A216:I216"/>
    <mergeCell ref="A233:B233"/>
    <mergeCell ref="A242:B242"/>
    <mergeCell ref="A228:B228"/>
    <mergeCell ref="A189:I189"/>
    <mergeCell ref="F547:G547"/>
    <mergeCell ref="F544:G544"/>
    <mergeCell ref="F545:G545"/>
    <mergeCell ref="F546:G546"/>
    <mergeCell ref="A450:B450"/>
    <mergeCell ref="A427:B427"/>
    <mergeCell ref="A454:B454"/>
    <mergeCell ref="A466:B466"/>
    <mergeCell ref="F548:G548"/>
    <mergeCell ref="F549:G549"/>
    <mergeCell ref="F550:G550"/>
    <mergeCell ref="I540:I542"/>
    <mergeCell ref="A442:B442"/>
    <mergeCell ref="A535:B535"/>
    <mergeCell ref="A468:I468"/>
    <mergeCell ref="H540:H542"/>
    <mergeCell ref="A505:B505"/>
    <mergeCell ref="A453:I453"/>
    <mergeCell ref="A578:B578"/>
    <mergeCell ref="A396:B396"/>
    <mergeCell ref="A526:B526"/>
    <mergeCell ref="F540:G542"/>
    <mergeCell ref="F543:G543"/>
    <mergeCell ref="A537:B537"/>
    <mergeCell ref="A538:B538"/>
    <mergeCell ref="A531:I531"/>
    <mergeCell ref="F572:H572"/>
    <mergeCell ref="F574:H574"/>
    <mergeCell ref="A186:B186"/>
    <mergeCell ref="A188:I188"/>
    <mergeCell ref="A147:I147"/>
    <mergeCell ref="A178:B178"/>
    <mergeCell ref="A261:B261"/>
    <mergeCell ref="A199:B199"/>
    <mergeCell ref="A200:I200"/>
    <mergeCell ref="A201:I201"/>
    <mergeCell ref="A213:I213"/>
    <mergeCell ref="A260:I260"/>
    <mergeCell ref="A84:B84"/>
    <mergeCell ref="A85:I85"/>
    <mergeCell ref="A86:I86"/>
    <mergeCell ref="A127:B127"/>
    <mergeCell ref="C127:I127"/>
    <mergeCell ref="A136:B136"/>
    <mergeCell ref="A101:F101"/>
    <mergeCell ref="A130:I130"/>
    <mergeCell ref="C117:I117"/>
    <mergeCell ref="C110:D110"/>
    <mergeCell ref="A210:I210"/>
    <mergeCell ref="A215:I215"/>
    <mergeCell ref="A528:B528"/>
    <mergeCell ref="A141:B141"/>
    <mergeCell ref="A198:B198"/>
    <mergeCell ref="C198:I198"/>
    <mergeCell ref="A246:B246"/>
    <mergeCell ref="A173:B173"/>
    <mergeCell ref="A144:B144"/>
    <mergeCell ref="A256:B256"/>
    <mergeCell ref="C111:D111"/>
    <mergeCell ref="C112:D112"/>
    <mergeCell ref="A80:B80"/>
    <mergeCell ref="C66:I66"/>
    <mergeCell ref="A67:B67"/>
    <mergeCell ref="A68:I68"/>
    <mergeCell ref="A83:B83"/>
    <mergeCell ref="C83:I83"/>
    <mergeCell ref="A69:I69"/>
    <mergeCell ref="A75:B75"/>
    <mergeCell ref="A11:A13"/>
    <mergeCell ref="A10:I10"/>
    <mergeCell ref="A174:I174"/>
    <mergeCell ref="A172:B172"/>
    <mergeCell ref="A129:I129"/>
    <mergeCell ref="A128:B128"/>
    <mergeCell ref="C104:D104"/>
    <mergeCell ref="C105:D105"/>
    <mergeCell ref="C113:D113"/>
    <mergeCell ref="C109:D109"/>
    <mergeCell ref="C106:D106"/>
    <mergeCell ref="A9:I9"/>
    <mergeCell ref="D11:G11"/>
    <mergeCell ref="B11:B13"/>
    <mergeCell ref="C11:C13"/>
    <mergeCell ref="E12:G12"/>
    <mergeCell ref="A63:B63"/>
    <mergeCell ref="H11:H13"/>
    <mergeCell ref="C103:D103"/>
    <mergeCell ref="D12:D13"/>
    <mergeCell ref="A108:B108"/>
    <mergeCell ref="I11:I13"/>
    <mergeCell ref="A126:I126"/>
    <mergeCell ref="A347:B347"/>
    <mergeCell ref="A146:I146"/>
    <mergeCell ref="A175:I175"/>
    <mergeCell ref="C107:D107"/>
    <mergeCell ref="C108:D108"/>
    <mergeCell ref="C114:D114"/>
    <mergeCell ref="A145:B145"/>
    <mergeCell ref="A248:B248"/>
    <mergeCell ref="A346:I346"/>
    <mergeCell ref="A120:I120"/>
    <mergeCell ref="A100:I100"/>
    <mergeCell ref="A64:B64"/>
    <mergeCell ref="A116:I116"/>
    <mergeCell ref="A118:B118"/>
    <mergeCell ref="A117:B117"/>
    <mergeCell ref="C102:D102"/>
    <mergeCell ref="A158:B158"/>
    <mergeCell ref="A352:B352"/>
    <mergeCell ref="A413:B413"/>
    <mergeCell ref="A7:B7"/>
    <mergeCell ref="A33:B33"/>
    <mergeCell ref="A113:B113"/>
    <mergeCell ref="A8:B8"/>
    <mergeCell ref="A99:B99"/>
    <mergeCell ref="A119:I119"/>
    <mergeCell ref="A98:B98"/>
    <mergeCell ref="A192:B192"/>
    <mergeCell ref="A66:B66"/>
    <mergeCell ref="A465:B465"/>
    <mergeCell ref="A459:B459"/>
    <mergeCell ref="A435:I435"/>
    <mergeCell ref="A436:I436"/>
    <mergeCell ref="A437:B437"/>
    <mergeCell ref="A431:B431"/>
    <mergeCell ref="A353:B353"/>
    <mergeCell ref="A355:I355"/>
    <mergeCell ref="A393:B393"/>
    <mergeCell ref="A421:B421"/>
    <mergeCell ref="A391:B391"/>
    <mergeCell ref="A356:B356"/>
    <mergeCell ref="A418:B418"/>
    <mergeCell ref="A388:B388"/>
    <mergeCell ref="A395:I395"/>
    <mergeCell ref="A416:B416"/>
    <mergeCell ref="A420:I420"/>
    <mergeCell ref="A560:B560"/>
    <mergeCell ref="A565:B565"/>
    <mergeCell ref="A469:I469"/>
    <mergeCell ref="A432:B432"/>
    <mergeCell ref="A470:B470"/>
    <mergeCell ref="A451:B451"/>
    <mergeCell ref="A539:E539"/>
    <mergeCell ref="B540:B542"/>
    <mergeCell ref="C540:C542"/>
    <mergeCell ref="D540:D542"/>
  </mergeCells>
  <printOptions/>
  <pageMargins left="0.7874015748031497" right="0.2" top="0.2" bottom="0.19" header="0.2" footer="0.19"/>
  <pageSetup fitToHeight="0" fitToWidth="1" horizontalDpi="600" verticalDpi="600" orientation="portrait" paperSize="9" scale="56" r:id="rId1"/>
  <rowBreaks count="4" manualBreakCount="4">
    <brk id="97" max="8" man="1"/>
    <brk id="197" max="8" man="1"/>
    <brk id="344" max="8" man="1"/>
    <brk id="45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78"/>
  <sheetViews>
    <sheetView view="pageBreakPreview" zoomScale="90" zoomScaleSheetLayoutView="90" workbookViewId="0" topLeftCell="A452">
      <selection activeCell="F469" sqref="F469:H469"/>
    </sheetView>
  </sheetViews>
  <sheetFormatPr defaultColWidth="9.140625" defaultRowHeight="15"/>
  <cols>
    <col min="1" max="1" width="9.140625" style="109" customWidth="1"/>
    <col min="2" max="2" width="41.421875" style="109" customWidth="1"/>
    <col min="3" max="3" width="15.28125" style="109" customWidth="1"/>
    <col min="4" max="4" width="16.28125" style="109" customWidth="1"/>
    <col min="5" max="5" width="18.28125" style="109" customWidth="1"/>
    <col min="6" max="6" width="17.421875" style="109" customWidth="1"/>
    <col min="7" max="7" width="16.7109375" style="109" customWidth="1"/>
    <col min="8" max="8" width="17.57421875" style="109" customWidth="1"/>
    <col min="9" max="10" width="12.7109375" style="109" customWidth="1"/>
    <col min="11" max="11" width="10.8515625" style="109" bestFit="1" customWidth="1"/>
    <col min="12" max="16384" width="9.140625" style="109" customWidth="1"/>
  </cols>
  <sheetData>
    <row r="1" spans="1:10" ht="15.75">
      <c r="A1" s="670" t="s">
        <v>738</v>
      </c>
      <c r="B1" s="670"/>
      <c r="C1" s="670"/>
      <c r="D1" s="670"/>
      <c r="E1" s="670"/>
      <c r="F1" s="670"/>
      <c r="G1" s="670"/>
      <c r="H1" s="670"/>
      <c r="I1" s="236"/>
      <c r="J1" s="236"/>
    </row>
    <row r="2" spans="1:10" ht="15.75">
      <c r="A2" s="672" t="s">
        <v>199</v>
      </c>
      <c r="B2" s="672"/>
      <c r="C2" s="672"/>
      <c r="D2" s="672"/>
      <c r="E2" s="672"/>
      <c r="F2" s="672"/>
      <c r="G2" s="672"/>
      <c r="H2" s="672"/>
      <c r="I2" s="377"/>
      <c r="J2" s="236"/>
    </row>
    <row r="3" spans="1:10" ht="12.75">
      <c r="A3" s="108"/>
      <c r="B3" s="108"/>
      <c r="C3" s="108"/>
      <c r="E3" s="108"/>
      <c r="F3" s="112" t="s">
        <v>187</v>
      </c>
      <c r="H3" s="112"/>
      <c r="I3" s="112"/>
      <c r="J3" s="112"/>
    </row>
    <row r="4" spans="1:10" s="111" customFormat="1" ht="12.75">
      <c r="A4" s="623" t="s">
        <v>739</v>
      </c>
      <c r="B4" s="623"/>
      <c r="C4" s="623"/>
      <c r="D4" s="623"/>
      <c r="E4" s="623"/>
      <c r="F4" s="623"/>
      <c r="G4" s="623"/>
      <c r="H4" s="623"/>
      <c r="I4" s="131"/>
      <c r="J4" s="131"/>
    </row>
    <row r="5" s="111" customFormat="1" ht="8.25" customHeight="1">
      <c r="A5" s="108"/>
    </row>
    <row r="6" spans="1:9" s="111" customFormat="1" ht="1.5" customHeight="1" hidden="1">
      <c r="A6" s="623" t="s">
        <v>124</v>
      </c>
      <c r="B6" s="623"/>
      <c r="C6" s="623"/>
      <c r="D6" s="623"/>
      <c r="E6" s="623"/>
      <c r="F6" s="623"/>
      <c r="G6" s="623"/>
      <c r="H6" s="623"/>
      <c r="I6" s="623"/>
    </row>
    <row r="7" spans="1:9" s="112" customFormat="1" ht="17.25" customHeight="1" hidden="1">
      <c r="A7" s="600" t="s">
        <v>498</v>
      </c>
      <c r="B7" s="600"/>
      <c r="C7" s="640"/>
      <c r="D7" s="640"/>
      <c r="E7" s="640"/>
      <c r="F7" s="640"/>
      <c r="G7" s="640"/>
      <c r="H7" s="640"/>
      <c r="I7" s="640"/>
    </row>
    <row r="8" spans="1:2" s="111" customFormat="1" ht="12.75" customHeight="1" hidden="1">
      <c r="A8" s="600" t="s">
        <v>499</v>
      </c>
      <c r="B8" s="600"/>
    </row>
    <row r="9" spans="1:9" s="112" customFormat="1" ht="17.25" customHeight="1" hidden="1">
      <c r="A9" s="600" t="s">
        <v>500</v>
      </c>
      <c r="B9" s="600"/>
      <c r="C9" s="600"/>
      <c r="D9" s="600"/>
      <c r="E9" s="600"/>
      <c r="F9" s="600"/>
      <c r="G9" s="600"/>
      <c r="H9" s="600"/>
      <c r="I9" s="600"/>
    </row>
    <row r="10" spans="1:9" s="132" customFormat="1" ht="17.25" customHeight="1" hidden="1">
      <c r="A10" s="676" t="s">
        <v>501</v>
      </c>
      <c r="B10" s="676"/>
      <c r="C10" s="676"/>
      <c r="D10" s="676"/>
      <c r="E10" s="676"/>
      <c r="F10" s="676"/>
      <c r="G10" s="676"/>
      <c r="H10" s="676"/>
      <c r="I10" s="676"/>
    </row>
    <row r="11" spans="1:9" s="111" customFormat="1" ht="15" customHeight="1" hidden="1">
      <c r="A11" s="637" t="s">
        <v>125</v>
      </c>
      <c r="B11" s="637" t="s">
        <v>120</v>
      </c>
      <c r="C11" s="637" t="s">
        <v>126</v>
      </c>
      <c r="D11" s="624" t="s">
        <v>127</v>
      </c>
      <c r="E11" s="636"/>
      <c r="F11" s="636"/>
      <c r="G11" s="625"/>
      <c r="H11" s="637" t="s">
        <v>128</v>
      </c>
      <c r="I11" s="628" t="s">
        <v>192</v>
      </c>
    </row>
    <row r="12" spans="1:9" s="111" customFormat="1" ht="12.75" customHeight="1" hidden="1">
      <c r="A12" s="629"/>
      <c r="B12" s="629"/>
      <c r="C12" s="629"/>
      <c r="D12" s="637" t="s">
        <v>30</v>
      </c>
      <c r="E12" s="624" t="s">
        <v>6</v>
      </c>
      <c r="F12" s="636"/>
      <c r="G12" s="625"/>
      <c r="H12" s="629"/>
      <c r="I12" s="629"/>
    </row>
    <row r="13" spans="1:9" s="111" customFormat="1" ht="36.75" customHeight="1" hidden="1">
      <c r="A13" s="630"/>
      <c r="B13" s="630"/>
      <c r="C13" s="630"/>
      <c r="D13" s="630"/>
      <c r="E13" s="122" t="s">
        <v>129</v>
      </c>
      <c r="F13" s="122" t="s">
        <v>130</v>
      </c>
      <c r="G13" s="122" t="s">
        <v>131</v>
      </c>
      <c r="H13" s="630"/>
      <c r="I13" s="630"/>
    </row>
    <row r="14" spans="1:9" s="123" customFormat="1" ht="12.75" hidden="1">
      <c r="A14" s="122">
        <v>1</v>
      </c>
      <c r="B14" s="122">
        <v>2</v>
      </c>
      <c r="C14" s="122">
        <v>3</v>
      </c>
      <c r="D14" s="122">
        <v>4</v>
      </c>
      <c r="E14" s="122">
        <v>5</v>
      </c>
      <c r="F14" s="122">
        <v>6</v>
      </c>
      <c r="G14" s="122">
        <v>7</v>
      </c>
      <c r="H14" s="122">
        <v>8</v>
      </c>
      <c r="I14" s="122">
        <v>9</v>
      </c>
    </row>
    <row r="15" spans="1:9" s="111" customFormat="1" ht="12.75" hidden="1">
      <c r="A15" s="127" t="s">
        <v>460</v>
      </c>
      <c r="B15" s="126"/>
      <c r="C15" s="125"/>
      <c r="D15" s="205"/>
      <c r="E15" s="205"/>
      <c r="F15" s="114"/>
      <c r="G15" s="205"/>
      <c r="H15" s="205"/>
      <c r="I15" s="248"/>
    </row>
    <row r="16" spans="1:9" s="111" customFormat="1" ht="12.75" hidden="1">
      <c r="A16" s="127" t="s">
        <v>461</v>
      </c>
      <c r="B16" s="126"/>
      <c r="C16" s="125"/>
      <c r="D16" s="205"/>
      <c r="E16" s="205"/>
      <c r="F16" s="114"/>
      <c r="G16" s="114"/>
      <c r="H16" s="205"/>
      <c r="I16" s="301"/>
    </row>
    <row r="17" spans="1:9" s="111" customFormat="1" ht="12.75" hidden="1">
      <c r="A17" s="127" t="s">
        <v>462</v>
      </c>
      <c r="B17" s="128"/>
      <c r="C17" s="125"/>
      <c r="D17" s="205"/>
      <c r="E17" s="205"/>
      <c r="F17" s="114"/>
      <c r="G17" s="114"/>
      <c r="H17" s="205"/>
      <c r="I17" s="301"/>
    </row>
    <row r="18" spans="1:9" s="111" customFormat="1" ht="18" customHeight="1" hidden="1">
      <c r="A18" s="617" t="s">
        <v>497</v>
      </c>
      <c r="B18" s="638"/>
      <c r="C18" s="214">
        <f>SUM(C15:C17)</f>
        <v>0</v>
      </c>
      <c r="D18" s="349">
        <f>SUM(D15:D17)</f>
        <v>0</v>
      </c>
      <c r="E18" s="159" t="s">
        <v>132</v>
      </c>
      <c r="F18" s="159" t="s">
        <v>132</v>
      </c>
      <c r="G18" s="159" t="s">
        <v>132</v>
      </c>
      <c r="H18" s="349">
        <f>SUM(H15:H17)</f>
        <v>0</v>
      </c>
      <c r="I18" s="349">
        <f>SUM(I15:I17)</f>
        <v>0</v>
      </c>
    </row>
    <row r="19" spans="1:9" s="111" customFormat="1" ht="12.75" hidden="1">
      <c r="A19" s="224"/>
      <c r="B19" s="224"/>
      <c r="C19" s="286"/>
      <c r="D19" s="289"/>
      <c r="E19" s="180"/>
      <c r="F19" s="180"/>
      <c r="G19" s="180"/>
      <c r="H19" s="289"/>
      <c r="I19" s="289"/>
    </row>
    <row r="20" spans="1:9" s="112" customFormat="1" ht="17.25" customHeight="1" hidden="1">
      <c r="A20" s="600" t="s">
        <v>364</v>
      </c>
      <c r="B20" s="600"/>
      <c r="C20" s="640"/>
      <c r="D20" s="640"/>
      <c r="E20" s="640"/>
      <c r="F20" s="640"/>
      <c r="G20" s="640"/>
      <c r="H20" s="640"/>
      <c r="I20" s="640"/>
    </row>
    <row r="21" spans="1:2" s="111" customFormat="1" ht="12.75" customHeight="1" hidden="1">
      <c r="A21" s="600" t="s">
        <v>365</v>
      </c>
      <c r="B21" s="600"/>
    </row>
    <row r="22" spans="1:9" s="112" customFormat="1" ht="17.25" customHeight="1" hidden="1">
      <c r="A22" s="600" t="s">
        <v>354</v>
      </c>
      <c r="B22" s="600"/>
      <c r="C22" s="600"/>
      <c r="D22" s="600"/>
      <c r="E22" s="600"/>
      <c r="F22" s="600"/>
      <c r="G22" s="600"/>
      <c r="H22" s="600"/>
      <c r="I22" s="600"/>
    </row>
    <row r="23" spans="1:9" s="121" customFormat="1" ht="17.25" customHeight="1" hidden="1">
      <c r="A23" s="596" t="s">
        <v>580</v>
      </c>
      <c r="B23" s="596"/>
      <c r="C23" s="596"/>
      <c r="D23" s="596"/>
      <c r="E23" s="596"/>
      <c r="F23" s="596"/>
      <c r="G23" s="596"/>
      <c r="H23" s="596"/>
      <c r="I23" s="596"/>
    </row>
    <row r="24" spans="1:6" s="123" customFormat="1" ht="51" hidden="1">
      <c r="A24" s="122" t="s">
        <v>125</v>
      </c>
      <c r="B24" s="122" t="s">
        <v>122</v>
      </c>
      <c r="C24" s="122" t="s">
        <v>137</v>
      </c>
      <c r="D24" s="122" t="s">
        <v>138</v>
      </c>
      <c r="E24" s="122" t="s">
        <v>139</v>
      </c>
      <c r="F24" s="124" t="s">
        <v>140</v>
      </c>
    </row>
    <row r="25" spans="1:6" s="123" customFormat="1" ht="12.75" hidden="1">
      <c r="A25" s="122">
        <v>1</v>
      </c>
      <c r="B25" s="122">
        <v>2</v>
      </c>
      <c r="C25" s="122">
        <v>3</v>
      </c>
      <c r="D25" s="122">
        <v>4</v>
      </c>
      <c r="E25" s="122">
        <v>5</v>
      </c>
      <c r="F25" s="122">
        <v>6</v>
      </c>
    </row>
    <row r="26" spans="1:6" s="123" customFormat="1" ht="12.75" hidden="1">
      <c r="A26" s="122"/>
      <c r="B26" s="122"/>
      <c r="C26" s="122"/>
      <c r="D26" s="122"/>
      <c r="E26" s="122"/>
      <c r="F26" s="122"/>
    </row>
    <row r="27" spans="1:6" s="111" customFormat="1" ht="12.75" hidden="1">
      <c r="A27" s="115">
        <v>1</v>
      </c>
      <c r="B27" s="116"/>
      <c r="C27" s="114"/>
      <c r="D27" s="114"/>
      <c r="E27" s="153"/>
      <c r="F27" s="153"/>
    </row>
    <row r="28" spans="1:6" s="111" customFormat="1" ht="12.75" hidden="1">
      <c r="A28" s="115">
        <v>2</v>
      </c>
      <c r="B28" s="129"/>
      <c r="C28" s="114"/>
      <c r="D28" s="114"/>
      <c r="E28" s="153"/>
      <c r="F28" s="153"/>
    </row>
    <row r="29" spans="1:6" s="111" customFormat="1" ht="12.75" hidden="1">
      <c r="A29" s="115" t="s">
        <v>328</v>
      </c>
      <c r="B29" s="116"/>
      <c r="C29" s="116"/>
      <c r="D29" s="116"/>
      <c r="E29" s="116"/>
      <c r="F29" s="116"/>
    </row>
    <row r="30" spans="1:6" s="111" customFormat="1" ht="12.75" hidden="1">
      <c r="A30" s="115"/>
      <c r="B30" s="116" t="s">
        <v>324</v>
      </c>
      <c r="C30" s="114" t="s">
        <v>132</v>
      </c>
      <c r="D30" s="114" t="s">
        <v>132</v>
      </c>
      <c r="E30" s="114" t="s">
        <v>132</v>
      </c>
      <c r="F30" s="153">
        <f>SUM(F27:F29)</f>
        <v>0</v>
      </c>
    </row>
    <row r="31" spans="1:6" s="111" customFormat="1" ht="12.75" hidden="1">
      <c r="A31" s="115">
        <v>1</v>
      </c>
      <c r="B31" s="129"/>
      <c r="C31" s="114"/>
      <c r="D31" s="114"/>
      <c r="E31" s="114"/>
      <c r="F31" s="205"/>
    </row>
    <row r="32" spans="1:6" s="111" customFormat="1" ht="12.75" hidden="1">
      <c r="A32" s="115">
        <v>2</v>
      </c>
      <c r="B32" s="116"/>
      <c r="C32" s="116"/>
      <c r="D32" s="116"/>
      <c r="E32" s="116"/>
      <c r="F32" s="203"/>
    </row>
    <row r="33" spans="1:6" s="111" customFormat="1" ht="12.75" hidden="1">
      <c r="A33" s="115" t="s">
        <v>328</v>
      </c>
      <c r="B33" s="116"/>
      <c r="C33" s="116"/>
      <c r="D33" s="116"/>
      <c r="E33" s="116"/>
      <c r="F33" s="203"/>
    </row>
    <row r="34" spans="1:6" s="111" customFormat="1" ht="18" customHeight="1" hidden="1">
      <c r="A34" s="115"/>
      <c r="B34" s="116" t="s">
        <v>325</v>
      </c>
      <c r="C34" s="114" t="s">
        <v>132</v>
      </c>
      <c r="D34" s="114" t="s">
        <v>132</v>
      </c>
      <c r="E34" s="114" t="s">
        <v>132</v>
      </c>
      <c r="F34" s="203">
        <f>SUM(F31:F33)</f>
        <v>0</v>
      </c>
    </row>
    <row r="35" spans="1:6" s="111" customFormat="1" ht="12.75" hidden="1">
      <c r="A35" s="115"/>
      <c r="B35" s="168" t="s">
        <v>327</v>
      </c>
      <c r="C35" s="114" t="s">
        <v>132</v>
      </c>
      <c r="D35" s="114" t="s">
        <v>132</v>
      </c>
      <c r="E35" s="114" t="s">
        <v>132</v>
      </c>
      <c r="F35" s="170">
        <f>F30+F34</f>
        <v>0</v>
      </c>
    </row>
    <row r="36" spans="1:9" s="111" customFormat="1" ht="4.5" customHeight="1" hidden="1">
      <c r="A36" s="224"/>
      <c r="B36" s="224"/>
      <c r="C36" s="286"/>
      <c r="D36" s="289"/>
      <c r="E36" s="180"/>
      <c r="F36" s="180"/>
      <c r="G36" s="180"/>
      <c r="H36" s="289"/>
      <c r="I36" s="289"/>
    </row>
    <row r="37" spans="1:9" s="112" customFormat="1" ht="15" customHeight="1" hidden="1">
      <c r="A37" s="600" t="s">
        <v>502</v>
      </c>
      <c r="B37" s="600"/>
      <c r="C37" s="640"/>
      <c r="D37" s="640"/>
      <c r="E37" s="640"/>
      <c r="F37" s="640"/>
      <c r="G37" s="640"/>
      <c r="H37" s="640"/>
      <c r="I37" s="640"/>
    </row>
    <row r="38" spans="1:2" s="111" customFormat="1" ht="12.75" customHeight="1" hidden="1">
      <c r="A38" s="600" t="s">
        <v>503</v>
      </c>
      <c r="B38" s="600"/>
    </row>
    <row r="39" spans="1:9" s="112" customFormat="1" ht="17.25" customHeight="1" hidden="1">
      <c r="A39" s="600" t="s">
        <v>500</v>
      </c>
      <c r="B39" s="600"/>
      <c r="C39" s="600"/>
      <c r="D39" s="600"/>
      <c r="E39" s="600"/>
      <c r="F39" s="600"/>
      <c r="G39" s="600"/>
      <c r="H39" s="600"/>
      <c r="I39" s="600"/>
    </row>
    <row r="40" spans="1:9" s="121" customFormat="1" ht="27" customHeight="1" hidden="1">
      <c r="A40" s="644" t="s">
        <v>504</v>
      </c>
      <c r="B40" s="644"/>
      <c r="C40" s="644"/>
      <c r="D40" s="644"/>
      <c r="E40" s="644"/>
      <c r="F40" s="644"/>
      <c r="G40" s="644"/>
      <c r="H40" s="644"/>
      <c r="I40" s="644"/>
    </row>
    <row r="41" spans="1:5" s="123" customFormat="1" ht="36" customHeight="1" hidden="1">
      <c r="A41" s="122" t="s">
        <v>125</v>
      </c>
      <c r="B41" s="122" t="s">
        <v>141</v>
      </c>
      <c r="C41" s="624" t="s">
        <v>142</v>
      </c>
      <c r="D41" s="625"/>
      <c r="E41" s="122" t="s">
        <v>143</v>
      </c>
    </row>
    <row r="42" spans="1:5" s="123" customFormat="1" ht="12.75" hidden="1">
      <c r="A42" s="122">
        <v>1</v>
      </c>
      <c r="B42" s="122">
        <v>2</v>
      </c>
      <c r="C42" s="624">
        <v>3</v>
      </c>
      <c r="D42" s="625"/>
      <c r="E42" s="122">
        <v>4</v>
      </c>
    </row>
    <row r="43" spans="1:5" s="111" customFormat="1" ht="96" customHeight="1" hidden="1">
      <c r="A43" s="139" t="s">
        <v>505</v>
      </c>
      <c r="B43" s="118" t="s">
        <v>506</v>
      </c>
      <c r="C43" s="691"/>
      <c r="D43" s="625"/>
      <c r="E43" s="352"/>
    </row>
    <row r="44" spans="1:5" s="111" customFormat="1" ht="15.75" customHeight="1" hidden="1">
      <c r="A44" s="617" t="s">
        <v>497</v>
      </c>
      <c r="B44" s="638"/>
      <c r="C44" s="690" t="s">
        <v>132</v>
      </c>
      <c r="D44" s="632"/>
      <c r="E44" s="223">
        <f>SUM(E43)</f>
        <v>0</v>
      </c>
    </row>
    <row r="45" spans="1:5" s="111" customFormat="1" ht="12.75" hidden="1">
      <c r="A45" s="133"/>
      <c r="B45" s="179"/>
      <c r="C45" s="135"/>
      <c r="D45" s="135"/>
      <c r="E45" s="226"/>
    </row>
    <row r="46" spans="1:9" s="111" customFormat="1" ht="17.25" customHeight="1" hidden="1">
      <c r="A46" s="623" t="s">
        <v>355</v>
      </c>
      <c r="B46" s="623"/>
      <c r="C46" s="623"/>
      <c r="D46" s="623"/>
      <c r="E46" s="623"/>
      <c r="F46" s="623"/>
      <c r="G46" s="623"/>
      <c r="H46" s="623"/>
      <c r="I46" s="623"/>
    </row>
    <row r="47" spans="1:9" s="112" customFormat="1" ht="17.25" customHeight="1" hidden="1">
      <c r="A47" s="600" t="s">
        <v>356</v>
      </c>
      <c r="B47" s="600"/>
      <c r="C47" s="640"/>
      <c r="D47" s="640"/>
      <c r="E47" s="640"/>
      <c r="F47" s="640"/>
      <c r="G47" s="640"/>
      <c r="H47" s="640"/>
      <c r="I47" s="640"/>
    </row>
    <row r="48" spans="1:2" s="111" customFormat="1" ht="12.75" customHeight="1" hidden="1">
      <c r="A48" s="600" t="s">
        <v>357</v>
      </c>
      <c r="B48" s="600"/>
    </row>
    <row r="49" spans="1:9" s="112" customFormat="1" ht="17.25" customHeight="1" hidden="1">
      <c r="A49" s="600" t="s">
        <v>500</v>
      </c>
      <c r="B49" s="600"/>
      <c r="C49" s="600"/>
      <c r="D49" s="600"/>
      <c r="E49" s="600"/>
      <c r="F49" s="600"/>
      <c r="G49" s="600"/>
      <c r="H49" s="600"/>
      <c r="I49" s="600"/>
    </row>
    <row r="50" spans="1:9" s="121" customFormat="1" ht="12.75" customHeight="1" hidden="1">
      <c r="A50" s="596" t="s">
        <v>507</v>
      </c>
      <c r="B50" s="596"/>
      <c r="C50" s="596"/>
      <c r="D50" s="596"/>
      <c r="E50" s="596"/>
      <c r="F50" s="596"/>
      <c r="G50" s="596"/>
      <c r="H50" s="596"/>
      <c r="I50" s="596"/>
    </row>
    <row r="51" spans="1:5" s="123" customFormat="1" ht="35.25" customHeight="1" hidden="1">
      <c r="A51" s="122" t="s">
        <v>125</v>
      </c>
      <c r="B51" s="122" t="s">
        <v>1</v>
      </c>
      <c r="C51" s="122" t="s">
        <v>144</v>
      </c>
      <c r="D51" s="122" t="s">
        <v>145</v>
      </c>
      <c r="E51" s="122" t="s">
        <v>146</v>
      </c>
    </row>
    <row r="52" spans="1:5" s="123" customFormat="1" ht="12.75" hidden="1">
      <c r="A52" s="265">
        <v>1</v>
      </c>
      <c r="B52" s="265">
        <v>2</v>
      </c>
      <c r="C52" s="122">
        <v>3</v>
      </c>
      <c r="D52" s="122">
        <v>4</v>
      </c>
      <c r="E52" s="122">
        <v>5</v>
      </c>
    </row>
    <row r="53" spans="1:5" s="111" customFormat="1" ht="12.75" hidden="1">
      <c r="A53" s="127" t="s">
        <v>508</v>
      </c>
      <c r="B53" s="128"/>
      <c r="C53" s="125"/>
      <c r="D53" s="116"/>
      <c r="E53" s="116"/>
    </row>
    <row r="54" spans="1:5" s="111" customFormat="1" ht="14.25" customHeight="1" hidden="1">
      <c r="A54" s="692" t="s">
        <v>326</v>
      </c>
      <c r="B54" s="693"/>
      <c r="C54" s="113" t="s">
        <v>132</v>
      </c>
      <c r="D54" s="114" t="s">
        <v>132</v>
      </c>
      <c r="E54" s="223">
        <f>SUM(E53:E53)</f>
        <v>0</v>
      </c>
    </row>
    <row r="55" spans="1:5" s="111" customFormat="1" ht="12.75" hidden="1">
      <c r="A55" s="133"/>
      <c r="B55" s="179"/>
      <c r="C55" s="135"/>
      <c r="D55" s="135"/>
      <c r="E55" s="226"/>
    </row>
    <row r="56" spans="1:9" s="111" customFormat="1" ht="16.5" customHeight="1" hidden="1">
      <c r="A56" s="623" t="s">
        <v>359</v>
      </c>
      <c r="B56" s="623"/>
      <c r="C56" s="623"/>
      <c r="D56" s="623"/>
      <c r="E56" s="623"/>
      <c r="F56" s="623"/>
      <c r="G56" s="623"/>
      <c r="H56" s="623"/>
      <c r="I56" s="623"/>
    </row>
    <row r="57" spans="1:9" s="112" customFormat="1" ht="17.25" customHeight="1" hidden="1">
      <c r="A57" s="600" t="s">
        <v>509</v>
      </c>
      <c r="B57" s="600"/>
      <c r="C57" s="640"/>
      <c r="D57" s="640"/>
      <c r="E57" s="640"/>
      <c r="F57" s="640"/>
      <c r="G57" s="640"/>
      <c r="H57" s="640"/>
      <c r="I57" s="640"/>
    </row>
    <row r="58" spans="1:2" s="111" customFormat="1" ht="12" customHeight="1" hidden="1">
      <c r="A58" s="600" t="s">
        <v>510</v>
      </c>
      <c r="B58" s="600"/>
    </row>
    <row r="59" spans="1:9" s="112" customFormat="1" ht="17.25" customHeight="1" hidden="1">
      <c r="A59" s="600" t="s">
        <v>500</v>
      </c>
      <c r="B59" s="600"/>
      <c r="C59" s="600"/>
      <c r="D59" s="600"/>
      <c r="E59" s="600"/>
      <c r="F59" s="600"/>
      <c r="G59" s="600"/>
      <c r="H59" s="600"/>
      <c r="I59" s="600"/>
    </row>
    <row r="60" spans="1:9" s="111" customFormat="1" ht="17.25" customHeight="1" hidden="1">
      <c r="A60" s="596" t="s">
        <v>360</v>
      </c>
      <c r="B60" s="596"/>
      <c r="C60" s="596"/>
      <c r="D60" s="596"/>
      <c r="E60" s="596"/>
      <c r="F60" s="596"/>
      <c r="G60" s="596"/>
      <c r="H60" s="596"/>
      <c r="I60" s="596"/>
    </row>
    <row r="61" spans="1:5" s="123" customFormat="1" ht="59.25" customHeight="1" hidden="1">
      <c r="A61" s="122" t="s">
        <v>125</v>
      </c>
      <c r="B61" s="122" t="s">
        <v>122</v>
      </c>
      <c r="C61" s="122" t="s">
        <v>147</v>
      </c>
      <c r="D61" s="122" t="s">
        <v>148</v>
      </c>
      <c r="E61" s="122" t="s">
        <v>149</v>
      </c>
    </row>
    <row r="62" spans="1:5" s="123" customFormat="1" ht="12.75" hidden="1">
      <c r="A62" s="122">
        <v>1</v>
      </c>
      <c r="B62" s="122">
        <v>2</v>
      </c>
      <c r="C62" s="122">
        <v>3</v>
      </c>
      <c r="D62" s="122">
        <v>4</v>
      </c>
      <c r="E62" s="122">
        <v>5</v>
      </c>
    </row>
    <row r="63" spans="1:5" s="111" customFormat="1" ht="12.75" hidden="1">
      <c r="A63" s="115" t="s">
        <v>511</v>
      </c>
      <c r="B63" s="129" t="s">
        <v>159</v>
      </c>
      <c r="C63" s="114"/>
      <c r="D63" s="114"/>
      <c r="E63" s="114"/>
    </row>
    <row r="64" spans="1:5" s="111" customFormat="1" ht="12.75" hidden="1">
      <c r="A64" s="115"/>
      <c r="B64" s="129" t="s">
        <v>160</v>
      </c>
      <c r="C64" s="114"/>
      <c r="D64" s="114"/>
      <c r="E64" s="114"/>
    </row>
    <row r="65" spans="1:5" s="111" customFormat="1" ht="12.75" hidden="1">
      <c r="A65" s="115"/>
      <c r="B65" s="130" t="s">
        <v>161</v>
      </c>
      <c r="C65" s="114"/>
      <c r="D65" s="114"/>
      <c r="E65" s="114"/>
    </row>
    <row r="66" spans="1:5" s="111" customFormat="1" ht="12.75" hidden="1">
      <c r="A66" s="115"/>
      <c r="B66" s="129" t="s">
        <v>14</v>
      </c>
      <c r="C66" s="114"/>
      <c r="D66" s="114"/>
      <c r="E66" s="114"/>
    </row>
    <row r="67" spans="1:5" s="111" customFormat="1" ht="12.75" hidden="1">
      <c r="A67" s="115"/>
      <c r="B67" s="129" t="s">
        <v>162</v>
      </c>
      <c r="C67" s="114"/>
      <c r="D67" s="114"/>
      <c r="E67" s="114"/>
    </row>
    <row r="68" spans="1:5" s="111" customFormat="1" ht="12.75" hidden="1">
      <c r="A68" s="115"/>
      <c r="B68" s="129" t="s">
        <v>163</v>
      </c>
      <c r="C68" s="114"/>
      <c r="D68" s="114"/>
      <c r="E68" s="114"/>
    </row>
    <row r="69" spans="1:5" s="111" customFormat="1" ht="12.75" hidden="1">
      <c r="A69" s="115"/>
      <c r="B69" s="129" t="s">
        <v>14</v>
      </c>
      <c r="C69" s="114"/>
      <c r="D69" s="114"/>
      <c r="E69" s="114"/>
    </row>
    <row r="70" spans="1:5" s="111" customFormat="1" ht="12.75" customHeight="1" hidden="1">
      <c r="A70" s="115"/>
      <c r="B70" s="129" t="s">
        <v>162</v>
      </c>
      <c r="C70" s="114"/>
      <c r="D70" s="114"/>
      <c r="E70" s="114"/>
    </row>
    <row r="71" spans="1:5" s="111" customFormat="1" ht="14.25" customHeight="1" hidden="1">
      <c r="A71" s="617" t="s">
        <v>497</v>
      </c>
      <c r="B71" s="638"/>
      <c r="C71" s="169"/>
      <c r="D71" s="159" t="s">
        <v>132</v>
      </c>
      <c r="E71" s="223">
        <f>E63</f>
        <v>0</v>
      </c>
    </row>
    <row r="72" spans="1:6" s="111" customFormat="1" ht="4.5" customHeight="1" hidden="1">
      <c r="A72"/>
      <c r="B72"/>
      <c r="C72"/>
      <c r="D72"/>
      <c r="E72"/>
      <c r="F72"/>
    </row>
    <row r="73" spans="1:5" s="111" customFormat="1" ht="12.75" hidden="1">
      <c r="A73" s="133"/>
      <c r="B73" s="134"/>
      <c r="C73" s="134"/>
      <c r="D73" s="135"/>
      <c r="E73" s="134"/>
    </row>
    <row r="74" spans="1:9" s="112" customFormat="1" ht="17.25" customHeight="1" hidden="1">
      <c r="A74" s="600" t="s">
        <v>188</v>
      </c>
      <c r="B74" s="600"/>
      <c r="C74" s="640"/>
      <c r="D74" s="640"/>
      <c r="E74" s="640"/>
      <c r="F74" s="640"/>
      <c r="G74" s="640"/>
      <c r="H74" s="640"/>
      <c r="I74" s="640"/>
    </row>
    <row r="75" spans="1:2" s="111" customFormat="1" ht="12.75" customHeight="1" hidden="1">
      <c r="A75" s="600" t="s">
        <v>369</v>
      </c>
      <c r="B75" s="600"/>
    </row>
    <row r="76" spans="1:9" s="112" customFormat="1" ht="17.25" customHeight="1" hidden="1">
      <c r="A76" s="600" t="s">
        <v>500</v>
      </c>
      <c r="B76" s="600"/>
      <c r="C76" s="600"/>
      <c r="D76" s="600"/>
      <c r="E76" s="600"/>
      <c r="F76" s="600"/>
      <c r="G76" s="600"/>
      <c r="H76" s="600"/>
      <c r="I76" s="600"/>
    </row>
    <row r="77" spans="1:9" s="111" customFormat="1" ht="17.25" customHeight="1" hidden="1">
      <c r="A77" s="596" t="s">
        <v>361</v>
      </c>
      <c r="B77" s="596"/>
      <c r="C77" s="596"/>
      <c r="D77" s="596"/>
      <c r="E77" s="596"/>
      <c r="F77" s="596"/>
      <c r="G77" s="596"/>
      <c r="H77" s="596"/>
      <c r="I77" s="596"/>
    </row>
    <row r="78" spans="1:5" s="123" customFormat="1" ht="25.5" hidden="1">
      <c r="A78" s="139" t="s">
        <v>125</v>
      </c>
      <c r="B78" s="139" t="s">
        <v>122</v>
      </c>
      <c r="C78" s="139" t="s">
        <v>147</v>
      </c>
      <c r="D78" s="139" t="s">
        <v>148</v>
      </c>
      <c r="E78" s="140" t="s">
        <v>169</v>
      </c>
    </row>
    <row r="79" spans="1:5" s="123" customFormat="1" ht="12.75" hidden="1">
      <c r="A79" s="122">
        <v>1</v>
      </c>
      <c r="B79" s="122">
        <v>2</v>
      </c>
      <c r="C79" s="122">
        <v>3</v>
      </c>
      <c r="D79" s="122">
        <v>4</v>
      </c>
      <c r="E79" s="122">
        <v>5</v>
      </c>
    </row>
    <row r="80" spans="1:5" s="111" customFormat="1" ht="12.75" hidden="1">
      <c r="A80" s="115" t="s">
        <v>512</v>
      </c>
      <c r="B80" s="129" t="s">
        <v>171</v>
      </c>
      <c r="C80" s="114"/>
      <c r="D80" s="114"/>
      <c r="E80" s="205"/>
    </row>
    <row r="81" spans="1:5" s="111" customFormat="1" ht="12.75" hidden="1">
      <c r="A81" s="115" t="s">
        <v>513</v>
      </c>
      <c r="B81" s="137" t="s">
        <v>172</v>
      </c>
      <c r="C81" s="114"/>
      <c r="D81" s="114"/>
      <c r="E81" s="205"/>
    </row>
    <row r="82" spans="1:5" s="111" customFormat="1" ht="12.75" hidden="1">
      <c r="A82" s="127"/>
      <c r="B82" s="186" t="s">
        <v>173</v>
      </c>
      <c r="C82" s="113"/>
      <c r="D82" s="114"/>
      <c r="E82" s="205"/>
    </row>
    <row r="83" spans="1:5" s="111" customFormat="1" ht="12.75" hidden="1">
      <c r="A83" s="127"/>
      <c r="B83" s="186"/>
      <c r="C83" s="113"/>
      <c r="D83" s="114"/>
      <c r="E83" s="114"/>
    </row>
    <row r="84" spans="1:5" s="111" customFormat="1" ht="14.25" customHeight="1" hidden="1">
      <c r="A84" s="673" t="s">
        <v>497</v>
      </c>
      <c r="B84" s="674"/>
      <c r="C84" s="169"/>
      <c r="D84" s="159" t="s">
        <v>132</v>
      </c>
      <c r="E84" s="223">
        <f>E76</f>
        <v>0</v>
      </c>
    </row>
    <row r="85" spans="1:5" s="111" customFormat="1" ht="12.75" hidden="1">
      <c r="A85" s="115" t="s">
        <v>512</v>
      </c>
      <c r="B85" s="129" t="s">
        <v>171</v>
      </c>
      <c r="C85" s="114"/>
      <c r="D85" s="114"/>
      <c r="E85" s="205"/>
    </row>
    <row r="86" spans="1:5" s="111" customFormat="1" ht="12.75" hidden="1">
      <c r="A86" s="115" t="s">
        <v>513</v>
      </c>
      <c r="B86" s="129" t="s">
        <v>172</v>
      </c>
      <c r="C86" s="114"/>
      <c r="D86" s="114"/>
      <c r="E86" s="205"/>
    </row>
    <row r="87" spans="1:5" s="111" customFormat="1" ht="12.75" hidden="1">
      <c r="A87" s="119"/>
      <c r="B87" s="137" t="s">
        <v>173</v>
      </c>
      <c r="C87" s="114"/>
      <c r="D87" s="114"/>
      <c r="E87" s="205"/>
    </row>
    <row r="88" spans="1:5" s="111" customFormat="1" ht="12.75" hidden="1">
      <c r="A88" s="119"/>
      <c r="B88" s="137"/>
      <c r="C88" s="114"/>
      <c r="D88" s="114"/>
      <c r="E88" s="114"/>
    </row>
    <row r="89" spans="1:5" s="111" customFormat="1" ht="14.25" customHeight="1" hidden="1">
      <c r="A89" s="614" t="s">
        <v>367</v>
      </c>
      <c r="B89" s="613"/>
      <c r="C89" s="169"/>
      <c r="D89" s="159" t="s">
        <v>132</v>
      </c>
      <c r="E89" s="223">
        <f>E84</f>
        <v>0</v>
      </c>
    </row>
    <row r="90" spans="1:5" s="111" customFormat="1" ht="18" customHeight="1" hidden="1">
      <c r="A90" s="621" t="s">
        <v>327</v>
      </c>
      <c r="B90" s="622"/>
      <c r="C90" s="116"/>
      <c r="D90" s="114" t="s">
        <v>132</v>
      </c>
      <c r="E90" s="223">
        <f>E84+E89</f>
        <v>0</v>
      </c>
    </row>
    <row r="91" spans="1:5" s="111" customFormat="1" ht="8.25" customHeight="1" hidden="1">
      <c r="A91" s="133"/>
      <c r="B91" s="134"/>
      <c r="C91" s="134"/>
      <c r="D91" s="135"/>
      <c r="E91" s="134"/>
    </row>
    <row r="92" spans="1:9" s="112" customFormat="1" ht="3" customHeight="1" hidden="1">
      <c r="A92" s="600" t="s">
        <v>189</v>
      </c>
      <c r="B92" s="600"/>
      <c r="C92" s="640"/>
      <c r="D92" s="640"/>
      <c r="E92" s="640"/>
      <c r="F92" s="640"/>
      <c r="G92" s="640"/>
      <c r="H92" s="640"/>
      <c r="I92" s="640"/>
    </row>
    <row r="93" spans="1:2" s="111" customFormat="1" ht="12.75" customHeight="1" hidden="1">
      <c r="A93" s="600" t="s">
        <v>369</v>
      </c>
      <c r="B93" s="600"/>
    </row>
    <row r="94" spans="1:9" s="112" customFormat="1" ht="17.25" customHeight="1" hidden="1">
      <c r="A94" s="600" t="s">
        <v>500</v>
      </c>
      <c r="B94" s="600"/>
      <c r="C94" s="600"/>
      <c r="D94" s="600"/>
      <c r="E94" s="600"/>
      <c r="F94" s="600"/>
      <c r="G94" s="600"/>
      <c r="H94" s="600"/>
      <c r="I94" s="600"/>
    </row>
    <row r="95" spans="1:9" s="111" customFormat="1" ht="17.25" customHeight="1" hidden="1">
      <c r="A95" s="596" t="s">
        <v>362</v>
      </c>
      <c r="B95" s="596"/>
      <c r="C95" s="596"/>
      <c r="D95" s="596"/>
      <c r="E95" s="596"/>
      <c r="F95" s="596"/>
      <c r="G95" s="596"/>
      <c r="H95" s="596"/>
      <c r="I95" s="596"/>
    </row>
    <row r="96" spans="1:5" s="123" customFormat="1" ht="25.5" hidden="1">
      <c r="A96" s="139" t="s">
        <v>125</v>
      </c>
      <c r="B96" s="139" t="s">
        <v>122</v>
      </c>
      <c r="C96" s="139" t="s">
        <v>147</v>
      </c>
      <c r="D96" s="139" t="s">
        <v>148</v>
      </c>
      <c r="E96" s="140" t="s">
        <v>169</v>
      </c>
    </row>
    <row r="97" spans="1:5" s="123" customFormat="1" ht="12.75" hidden="1">
      <c r="A97" s="122">
        <v>1</v>
      </c>
      <c r="B97" s="122">
        <v>2</v>
      </c>
      <c r="C97" s="122">
        <v>3</v>
      </c>
      <c r="D97" s="122">
        <v>4</v>
      </c>
      <c r="E97" s="122">
        <v>5</v>
      </c>
    </row>
    <row r="98" spans="1:5" s="111" customFormat="1" ht="12.75" hidden="1">
      <c r="A98" s="115" t="s">
        <v>174</v>
      </c>
      <c r="B98" s="129" t="s">
        <v>171</v>
      </c>
      <c r="C98" s="114"/>
      <c r="D98" s="114"/>
      <c r="E98" s="205"/>
    </row>
    <row r="99" spans="1:5" s="111" customFormat="1" ht="25.5" hidden="1">
      <c r="A99" s="115" t="s">
        <v>514</v>
      </c>
      <c r="B99" s="141" t="s">
        <v>175</v>
      </c>
      <c r="C99" s="113"/>
      <c r="D99" s="114"/>
      <c r="E99" s="205"/>
    </row>
    <row r="100" spans="1:5" s="111" customFormat="1" ht="12.75" hidden="1">
      <c r="A100" s="115" t="s">
        <v>515</v>
      </c>
      <c r="B100" s="141"/>
      <c r="C100" s="113"/>
      <c r="D100" s="114"/>
      <c r="E100" s="205"/>
    </row>
    <row r="101" spans="1:5" s="111" customFormat="1" ht="14.25" customHeight="1" hidden="1">
      <c r="A101" s="673" t="s">
        <v>497</v>
      </c>
      <c r="B101" s="674"/>
      <c r="C101" s="169"/>
      <c r="D101" s="159" t="s">
        <v>132</v>
      </c>
      <c r="E101" s="223">
        <f>E94</f>
        <v>0</v>
      </c>
    </row>
    <row r="102" spans="1:5" s="111" customFormat="1" ht="12.75" hidden="1">
      <c r="A102" s="115" t="s">
        <v>174</v>
      </c>
      <c r="B102" s="129" t="s">
        <v>171</v>
      </c>
      <c r="C102" s="114"/>
      <c r="D102" s="114"/>
      <c r="E102" s="205"/>
    </row>
    <row r="103" spans="1:5" s="111" customFormat="1" ht="25.5" hidden="1">
      <c r="A103" s="115" t="s">
        <v>514</v>
      </c>
      <c r="B103" s="141" t="s">
        <v>175</v>
      </c>
      <c r="C103" s="113"/>
      <c r="D103" s="114"/>
      <c r="E103" s="205"/>
    </row>
    <row r="104" spans="1:5" s="111" customFormat="1" ht="12.75" hidden="1">
      <c r="A104" s="115" t="s">
        <v>515</v>
      </c>
      <c r="B104" s="141"/>
      <c r="C104" s="113"/>
      <c r="D104" s="114"/>
      <c r="E104" s="205"/>
    </row>
    <row r="105" spans="1:5" s="111" customFormat="1" ht="15.75" customHeight="1" hidden="1">
      <c r="A105" s="614" t="s">
        <v>367</v>
      </c>
      <c r="B105" s="613"/>
      <c r="C105" s="169"/>
      <c r="D105" s="159" t="s">
        <v>132</v>
      </c>
      <c r="E105" s="223">
        <f>E100</f>
        <v>0</v>
      </c>
    </row>
    <row r="106" spans="1:5" s="111" customFormat="1" ht="18" customHeight="1" hidden="1">
      <c r="A106" s="621" t="s">
        <v>327</v>
      </c>
      <c r="B106" s="622"/>
      <c r="C106" s="116"/>
      <c r="D106" s="114" t="s">
        <v>132</v>
      </c>
      <c r="E106" s="223">
        <f>E101+E105</f>
        <v>0</v>
      </c>
    </row>
    <row r="107" spans="1:5" s="111" customFormat="1" ht="6.75" customHeight="1" hidden="1">
      <c r="A107" s="133"/>
      <c r="B107" s="134"/>
      <c r="C107" s="134"/>
      <c r="D107" s="135"/>
      <c r="E107" s="134"/>
    </row>
    <row r="108" spans="1:9" s="111" customFormat="1" ht="17.25" customHeight="1" hidden="1">
      <c r="A108" s="623" t="s">
        <v>363</v>
      </c>
      <c r="B108" s="623"/>
      <c r="C108" s="623"/>
      <c r="D108" s="623"/>
      <c r="E108" s="623"/>
      <c r="F108" s="623"/>
      <c r="G108" s="623"/>
      <c r="H108" s="623"/>
      <c r="I108" s="623"/>
    </row>
    <row r="109" spans="1:9" s="112" customFormat="1" ht="17.25" customHeight="1" hidden="1">
      <c r="A109" s="600" t="s">
        <v>364</v>
      </c>
      <c r="B109" s="600"/>
      <c r="C109" s="640"/>
      <c r="D109" s="640"/>
      <c r="E109" s="640"/>
      <c r="F109" s="640"/>
      <c r="G109" s="640"/>
      <c r="H109" s="640"/>
      <c r="I109" s="640"/>
    </row>
    <row r="110" spans="1:2" s="111" customFormat="1" ht="12.75" customHeight="1" hidden="1">
      <c r="A110" s="600" t="s">
        <v>365</v>
      </c>
      <c r="B110" s="600"/>
    </row>
    <row r="111" spans="1:9" s="112" customFormat="1" ht="17.25" customHeight="1" hidden="1">
      <c r="A111" s="600" t="s">
        <v>500</v>
      </c>
      <c r="B111" s="600"/>
      <c r="C111" s="600"/>
      <c r="D111" s="600"/>
      <c r="E111" s="600"/>
      <c r="F111" s="600"/>
      <c r="G111" s="600"/>
      <c r="H111" s="600"/>
      <c r="I111" s="600"/>
    </row>
    <row r="112" spans="1:9" s="121" customFormat="1" ht="17.25" customHeight="1" hidden="1">
      <c r="A112" s="596" t="s">
        <v>516</v>
      </c>
      <c r="B112" s="596"/>
      <c r="C112" s="596"/>
      <c r="D112" s="596"/>
      <c r="E112" s="596"/>
      <c r="F112" s="596"/>
      <c r="G112" s="596"/>
      <c r="H112" s="596"/>
      <c r="I112" s="596"/>
    </row>
    <row r="113" spans="1:6" s="123" customFormat="1" ht="54" customHeight="1" hidden="1">
      <c r="A113" s="122" t="s">
        <v>125</v>
      </c>
      <c r="B113" s="122" t="s">
        <v>122</v>
      </c>
      <c r="C113" s="122" t="s">
        <v>517</v>
      </c>
      <c r="D113" s="122" t="s">
        <v>518</v>
      </c>
      <c r="E113" s="122" t="s">
        <v>135</v>
      </c>
      <c r="F113" s="122" t="s">
        <v>136</v>
      </c>
    </row>
    <row r="114" spans="1:6" s="123" customFormat="1" ht="12.75" hidden="1">
      <c r="A114" s="122">
        <v>1</v>
      </c>
      <c r="B114" s="122">
        <v>2</v>
      </c>
      <c r="C114" s="122">
        <v>3</v>
      </c>
      <c r="D114" s="122">
        <v>4</v>
      </c>
      <c r="E114" s="122">
        <v>5</v>
      </c>
      <c r="F114" s="122">
        <v>6</v>
      </c>
    </row>
    <row r="115" spans="1:6" s="111" customFormat="1" ht="12.75" hidden="1">
      <c r="A115" s="115" t="s">
        <v>411</v>
      </c>
      <c r="B115" s="130"/>
      <c r="C115" s="114"/>
      <c r="D115" s="114"/>
      <c r="E115" s="114"/>
      <c r="F115" s="205"/>
    </row>
    <row r="116" spans="1:6" s="111" customFormat="1" ht="11.25" customHeight="1" hidden="1">
      <c r="A116" s="115" t="s">
        <v>413</v>
      </c>
      <c r="B116" s="116"/>
      <c r="C116" s="114"/>
      <c r="D116" s="114"/>
      <c r="E116" s="114"/>
      <c r="F116" s="114"/>
    </row>
    <row r="117" spans="1:6" s="111" customFormat="1" ht="14.25" customHeight="1" hidden="1">
      <c r="A117" s="673" t="s">
        <v>497</v>
      </c>
      <c r="B117" s="674"/>
      <c r="C117" s="114" t="s">
        <v>8</v>
      </c>
      <c r="D117" s="114" t="s">
        <v>132</v>
      </c>
      <c r="E117" s="114" t="s">
        <v>132</v>
      </c>
      <c r="F117" s="203">
        <f>SUM(F115:F116)</f>
        <v>0</v>
      </c>
    </row>
    <row r="118" spans="1:6" s="111" customFormat="1" ht="12.75" hidden="1">
      <c r="A118" s="115" t="s">
        <v>411</v>
      </c>
      <c r="B118" s="116"/>
      <c r="C118" s="114"/>
      <c r="D118" s="114"/>
      <c r="E118" s="114"/>
      <c r="F118" s="114"/>
    </row>
    <row r="119" spans="1:6" s="111" customFormat="1" ht="12.75" hidden="1">
      <c r="A119" s="115" t="s">
        <v>413</v>
      </c>
      <c r="B119" s="116"/>
      <c r="C119" s="114"/>
      <c r="D119" s="114"/>
      <c r="E119" s="114"/>
      <c r="F119" s="114"/>
    </row>
    <row r="120" spans="1:6" s="111" customFormat="1" ht="14.25" customHeight="1" hidden="1">
      <c r="A120" s="614" t="s">
        <v>367</v>
      </c>
      <c r="B120" s="613"/>
      <c r="C120" s="114" t="s">
        <v>8</v>
      </c>
      <c r="D120" s="114" t="s">
        <v>132</v>
      </c>
      <c r="E120" s="114" t="s">
        <v>132</v>
      </c>
      <c r="F120" s="203">
        <f>SUM(F118:F119)</f>
        <v>0</v>
      </c>
    </row>
    <row r="121" spans="1:6" s="111" customFormat="1" ht="12.75" hidden="1">
      <c r="A121" s="621" t="s">
        <v>327</v>
      </c>
      <c r="B121" s="622"/>
      <c r="C121" s="114" t="s">
        <v>8</v>
      </c>
      <c r="D121" s="114" t="s">
        <v>132</v>
      </c>
      <c r="E121" s="114" t="s">
        <v>132</v>
      </c>
      <c r="F121" s="223">
        <f>F117+F120</f>
        <v>0</v>
      </c>
    </row>
    <row r="122" spans="1:9" s="112" customFormat="1" ht="17.25" customHeight="1" hidden="1">
      <c r="A122" s="600" t="s">
        <v>364</v>
      </c>
      <c r="B122" s="600"/>
      <c r="C122" s="640"/>
      <c r="D122" s="640"/>
      <c r="E122" s="640"/>
      <c r="F122" s="640"/>
      <c r="G122" s="640"/>
      <c r="H122" s="640"/>
      <c r="I122" s="640"/>
    </row>
    <row r="123" spans="1:2" s="111" customFormat="1" ht="12.75" customHeight="1" hidden="1">
      <c r="A123" s="600" t="s">
        <v>365</v>
      </c>
      <c r="B123" s="600"/>
    </row>
    <row r="124" spans="1:9" s="112" customFormat="1" ht="17.25" customHeight="1" hidden="1">
      <c r="A124" s="600" t="s">
        <v>500</v>
      </c>
      <c r="B124" s="600"/>
      <c r="C124" s="600"/>
      <c r="D124" s="600"/>
      <c r="E124" s="600"/>
      <c r="F124" s="600"/>
      <c r="G124" s="600"/>
      <c r="H124" s="600"/>
      <c r="I124" s="600"/>
    </row>
    <row r="125" spans="1:9" s="121" customFormat="1" ht="17.25" customHeight="1" hidden="1">
      <c r="A125" s="596" t="s">
        <v>519</v>
      </c>
      <c r="B125" s="596"/>
      <c r="C125" s="596"/>
      <c r="D125" s="596"/>
      <c r="E125" s="596"/>
      <c r="F125" s="596"/>
      <c r="G125" s="596"/>
      <c r="H125" s="596"/>
      <c r="I125" s="596"/>
    </row>
    <row r="126" spans="1:6" s="123" customFormat="1" ht="51" customHeight="1" hidden="1">
      <c r="A126" s="122" t="s">
        <v>125</v>
      </c>
      <c r="B126" s="122" t="s">
        <v>122</v>
      </c>
      <c r="C126" s="122" t="s">
        <v>137</v>
      </c>
      <c r="D126" s="122" t="s">
        <v>138</v>
      </c>
      <c r="E126" s="122" t="s">
        <v>139</v>
      </c>
      <c r="F126" s="124" t="s">
        <v>140</v>
      </c>
    </row>
    <row r="127" spans="1:6" s="123" customFormat="1" ht="12.75" hidden="1">
      <c r="A127" s="122">
        <v>1</v>
      </c>
      <c r="B127" s="122">
        <v>2</v>
      </c>
      <c r="C127" s="122">
        <v>3</v>
      </c>
      <c r="D127" s="122">
        <v>4</v>
      </c>
      <c r="E127" s="122">
        <v>5</v>
      </c>
      <c r="F127" s="122">
        <v>6</v>
      </c>
    </row>
    <row r="128" spans="1:6" s="111" customFormat="1" ht="12.75" hidden="1">
      <c r="A128" s="115" t="s">
        <v>520</v>
      </c>
      <c r="B128" s="129" t="s">
        <v>521</v>
      </c>
      <c r="C128" s="114"/>
      <c r="D128" s="114"/>
      <c r="E128" s="114"/>
      <c r="F128" s="114"/>
    </row>
    <row r="129" spans="1:6" s="111" customFormat="1" ht="12.75" hidden="1">
      <c r="A129" s="115" t="s">
        <v>522</v>
      </c>
      <c r="B129" s="116" t="s">
        <v>523</v>
      </c>
      <c r="C129" s="116"/>
      <c r="D129" s="116"/>
      <c r="E129" s="116"/>
      <c r="F129" s="116"/>
    </row>
    <row r="130" spans="1:6" s="111" customFormat="1" ht="14.25" customHeight="1" hidden="1">
      <c r="A130" s="673" t="s">
        <v>497</v>
      </c>
      <c r="B130" s="674"/>
      <c r="C130" s="114" t="s">
        <v>132</v>
      </c>
      <c r="D130" s="114" t="s">
        <v>132</v>
      </c>
      <c r="E130" s="114" t="s">
        <v>132</v>
      </c>
      <c r="F130" s="203">
        <f>SUM(F128:F129)</f>
        <v>0</v>
      </c>
    </row>
    <row r="131" spans="1:6" s="111" customFormat="1" ht="12.75" hidden="1">
      <c r="A131" s="115" t="s">
        <v>520</v>
      </c>
      <c r="B131" s="129" t="s">
        <v>521</v>
      </c>
      <c r="C131" s="114"/>
      <c r="D131" s="114"/>
      <c r="E131" s="114"/>
      <c r="F131" s="114"/>
    </row>
    <row r="132" spans="1:6" s="111" customFormat="1" ht="12.75" hidden="1">
      <c r="A132" s="115" t="s">
        <v>522</v>
      </c>
      <c r="B132" s="116" t="s">
        <v>523</v>
      </c>
      <c r="C132" s="116"/>
      <c r="D132" s="116"/>
      <c r="E132" s="116"/>
      <c r="F132" s="116"/>
    </row>
    <row r="133" spans="1:6" s="111" customFormat="1" ht="14.25" customHeight="1" hidden="1">
      <c r="A133" s="614" t="s">
        <v>367</v>
      </c>
      <c r="B133" s="613"/>
      <c r="C133" s="114" t="s">
        <v>132</v>
      </c>
      <c r="D133" s="114" t="s">
        <v>132</v>
      </c>
      <c r="E133" s="114" t="s">
        <v>132</v>
      </c>
      <c r="F133" s="203">
        <f>SUM(F131:F132)</f>
        <v>0</v>
      </c>
    </row>
    <row r="134" spans="1:6" s="111" customFormat="1" ht="14.25" customHeight="1" hidden="1">
      <c r="A134" s="621" t="s">
        <v>327</v>
      </c>
      <c r="B134" s="622"/>
      <c r="C134" s="114" t="s">
        <v>132</v>
      </c>
      <c r="D134" s="114" t="s">
        <v>132</v>
      </c>
      <c r="E134" s="114" t="s">
        <v>132</v>
      </c>
      <c r="F134" s="223">
        <f>F130+F133</f>
        <v>0</v>
      </c>
    </row>
    <row r="135" spans="1:9" s="112" customFormat="1" ht="17.25" customHeight="1" hidden="1">
      <c r="A135" s="600" t="s">
        <v>368</v>
      </c>
      <c r="B135" s="600"/>
      <c r="C135" s="640"/>
      <c r="D135" s="640"/>
      <c r="E135" s="640"/>
      <c r="F135" s="640"/>
      <c r="G135" s="640"/>
      <c r="H135" s="640"/>
      <c r="I135" s="640"/>
    </row>
    <row r="136" spans="1:2" s="111" customFormat="1" ht="12.75" customHeight="1" hidden="1">
      <c r="A136" s="600" t="s">
        <v>369</v>
      </c>
      <c r="B136" s="600"/>
    </row>
    <row r="137" spans="1:9" s="112" customFormat="1" ht="17.25" customHeight="1" hidden="1">
      <c r="A137" s="600" t="s">
        <v>500</v>
      </c>
      <c r="B137" s="600"/>
      <c r="C137" s="600"/>
      <c r="D137" s="600"/>
      <c r="E137" s="600"/>
      <c r="F137" s="600"/>
      <c r="G137" s="600"/>
      <c r="H137" s="600"/>
      <c r="I137" s="600"/>
    </row>
    <row r="138" spans="1:9" s="121" customFormat="1" ht="17.25" customHeight="1" hidden="1">
      <c r="A138" s="596" t="s">
        <v>524</v>
      </c>
      <c r="B138" s="596"/>
      <c r="C138" s="596"/>
      <c r="D138" s="596"/>
      <c r="E138" s="596"/>
      <c r="F138" s="596"/>
      <c r="G138" s="596"/>
      <c r="H138" s="596"/>
      <c r="I138" s="596"/>
    </row>
    <row r="139" spans="1:6" s="123" customFormat="1" ht="44.25" customHeight="1" hidden="1">
      <c r="A139" s="122" t="s">
        <v>125</v>
      </c>
      <c r="B139" s="122" t="s">
        <v>122</v>
      </c>
      <c r="C139" s="122" t="s">
        <v>517</v>
      </c>
      <c r="D139" s="122" t="s">
        <v>518</v>
      </c>
      <c r="E139" s="122" t="s">
        <v>135</v>
      </c>
      <c r="F139" s="122" t="s">
        <v>136</v>
      </c>
    </row>
    <row r="140" spans="1:6" s="123" customFormat="1" ht="12.75" hidden="1">
      <c r="A140" s="122">
        <v>1</v>
      </c>
      <c r="B140" s="122">
        <v>2</v>
      </c>
      <c r="C140" s="122">
        <v>3</v>
      </c>
      <c r="D140" s="122">
        <v>4</v>
      </c>
      <c r="E140" s="122">
        <v>5</v>
      </c>
      <c r="F140" s="122">
        <v>6</v>
      </c>
    </row>
    <row r="141" spans="1:6" s="111" customFormat="1" ht="9" customHeight="1" hidden="1">
      <c r="A141" s="115" t="s">
        <v>525</v>
      </c>
      <c r="B141" s="116" t="s">
        <v>412</v>
      </c>
      <c r="C141" s="114"/>
      <c r="D141" s="114"/>
      <c r="E141" s="114"/>
      <c r="F141" s="205">
        <f>C141*D141*E141</f>
        <v>0</v>
      </c>
    </row>
    <row r="142" spans="1:6" s="111" customFormat="1" ht="42" customHeight="1" hidden="1">
      <c r="A142" s="115" t="s">
        <v>526</v>
      </c>
      <c r="B142" s="116" t="s">
        <v>414</v>
      </c>
      <c r="C142" s="114"/>
      <c r="D142" s="114"/>
      <c r="E142" s="114"/>
      <c r="F142" s="205">
        <f>C142*D142*E142</f>
        <v>0</v>
      </c>
    </row>
    <row r="143" spans="1:6" s="111" customFormat="1" ht="14.25" customHeight="1" hidden="1">
      <c r="A143" s="626" t="s">
        <v>366</v>
      </c>
      <c r="B143" s="627"/>
      <c r="C143" s="114" t="s">
        <v>8</v>
      </c>
      <c r="D143" s="114" t="s">
        <v>132</v>
      </c>
      <c r="E143" s="114" t="s">
        <v>132</v>
      </c>
      <c r="F143" s="223">
        <f>SUM(F141:F142)</f>
        <v>0</v>
      </c>
    </row>
    <row r="144" spans="1:9" s="112" customFormat="1" ht="17.25" customHeight="1" hidden="1">
      <c r="A144" s="600" t="s">
        <v>372</v>
      </c>
      <c r="B144" s="600"/>
      <c r="C144" s="640"/>
      <c r="D144" s="640"/>
      <c r="E144" s="640"/>
      <c r="F144" s="640"/>
      <c r="G144" s="640"/>
      <c r="H144" s="640"/>
      <c r="I144" s="640"/>
    </row>
    <row r="145" spans="1:2" s="111" customFormat="1" ht="12.75" customHeight="1" hidden="1">
      <c r="A145" s="600" t="s">
        <v>369</v>
      </c>
      <c r="B145" s="600"/>
    </row>
    <row r="146" spans="1:9" s="112" customFormat="1" ht="17.25" customHeight="1" hidden="1">
      <c r="A146" s="600" t="s">
        <v>500</v>
      </c>
      <c r="B146" s="600"/>
      <c r="C146" s="600"/>
      <c r="D146" s="600"/>
      <c r="E146" s="600"/>
      <c r="F146" s="600"/>
      <c r="G146" s="600"/>
      <c r="H146" s="600"/>
      <c r="I146" s="600"/>
    </row>
    <row r="147" spans="1:9" s="121" customFormat="1" ht="17.25" customHeight="1" hidden="1">
      <c r="A147" s="596" t="s">
        <v>527</v>
      </c>
      <c r="B147" s="596"/>
      <c r="C147" s="596"/>
      <c r="D147" s="596"/>
      <c r="E147" s="596"/>
      <c r="F147" s="596"/>
      <c r="G147" s="596"/>
      <c r="H147" s="596"/>
      <c r="I147" s="596"/>
    </row>
    <row r="148" spans="1:6" s="123" customFormat="1" ht="51" customHeight="1" hidden="1">
      <c r="A148" s="122" t="s">
        <v>125</v>
      </c>
      <c r="B148" s="122" t="s">
        <v>122</v>
      </c>
      <c r="C148" s="122" t="s">
        <v>373</v>
      </c>
      <c r="D148" s="122" t="s">
        <v>374</v>
      </c>
      <c r="E148" s="122" t="s">
        <v>139</v>
      </c>
      <c r="F148" s="124" t="s">
        <v>140</v>
      </c>
    </row>
    <row r="149" spans="1:6" s="123" customFormat="1" ht="12.75" hidden="1">
      <c r="A149" s="122">
        <v>1</v>
      </c>
      <c r="B149" s="122">
        <v>2</v>
      </c>
      <c r="C149" s="122">
        <v>3</v>
      </c>
      <c r="D149" s="122">
        <v>4</v>
      </c>
      <c r="E149" s="122">
        <v>5</v>
      </c>
      <c r="F149" s="122">
        <v>6</v>
      </c>
    </row>
    <row r="150" spans="1:6" s="111" customFormat="1" ht="12.75" hidden="1">
      <c r="A150" s="115" t="s">
        <v>528</v>
      </c>
      <c r="B150" s="129"/>
      <c r="C150" s="114"/>
      <c r="D150" s="114"/>
      <c r="E150" s="114"/>
      <c r="F150" s="114"/>
    </row>
    <row r="151" spans="1:6" s="111" customFormat="1" ht="14.25" customHeight="1" hidden="1">
      <c r="A151" s="673" t="s">
        <v>497</v>
      </c>
      <c r="B151" s="674"/>
      <c r="C151" s="114" t="s">
        <v>132</v>
      </c>
      <c r="D151" s="114" t="s">
        <v>132</v>
      </c>
      <c r="E151" s="114" t="s">
        <v>132</v>
      </c>
      <c r="F151" s="203">
        <f>SUM(F150:F150)</f>
        <v>0</v>
      </c>
    </row>
    <row r="152" spans="1:6" s="111" customFormat="1" ht="12.75" hidden="1">
      <c r="A152" s="115" t="s">
        <v>528</v>
      </c>
      <c r="B152" s="116"/>
      <c r="C152" s="116"/>
      <c r="D152" s="116"/>
      <c r="E152" s="116"/>
      <c r="F152" s="116"/>
    </row>
    <row r="153" spans="1:6" s="111" customFormat="1" ht="14.25" customHeight="1" hidden="1">
      <c r="A153" s="614" t="s">
        <v>367</v>
      </c>
      <c r="B153" s="613"/>
      <c r="C153" s="114" t="s">
        <v>132</v>
      </c>
      <c r="D153" s="114" t="s">
        <v>132</v>
      </c>
      <c r="E153" s="114" t="s">
        <v>132</v>
      </c>
      <c r="F153" s="203">
        <f>SUM(F151:F152)</f>
        <v>0</v>
      </c>
    </row>
    <row r="154" spans="1:6" s="111" customFormat="1" ht="12.75" hidden="1">
      <c r="A154" s="621" t="s">
        <v>327</v>
      </c>
      <c r="B154" s="622"/>
      <c r="C154" s="114" t="s">
        <v>132</v>
      </c>
      <c r="D154" s="114" t="s">
        <v>132</v>
      </c>
      <c r="E154" s="114" t="s">
        <v>132</v>
      </c>
      <c r="F154" s="223">
        <f>F151+F153</f>
        <v>0</v>
      </c>
    </row>
    <row r="155" spans="1:6" s="111" customFormat="1" ht="0.75" customHeight="1" hidden="1">
      <c r="A155" s="133"/>
      <c r="B155" s="179"/>
      <c r="C155" s="135"/>
      <c r="D155" s="135"/>
      <c r="E155" s="135"/>
      <c r="F155" s="226"/>
    </row>
    <row r="156" spans="1:9" s="111" customFormat="1" ht="12.75" customHeight="1">
      <c r="A156" s="623" t="s">
        <v>613</v>
      </c>
      <c r="B156" s="623"/>
      <c r="C156" s="623"/>
      <c r="D156" s="623"/>
      <c r="E156" s="623"/>
      <c r="F156" s="623"/>
      <c r="G156" s="623"/>
      <c r="H156" s="623"/>
      <c r="I156" s="131"/>
    </row>
    <row r="157" spans="1:9" s="112" customFormat="1" ht="17.25" customHeight="1">
      <c r="A157" s="600" t="s">
        <v>379</v>
      </c>
      <c r="B157" s="600"/>
      <c r="C157" s="640"/>
      <c r="D157" s="640"/>
      <c r="E157" s="640"/>
      <c r="F157" s="640"/>
      <c r="G157" s="640"/>
      <c r="H157" s="640"/>
      <c r="I157" s="640"/>
    </row>
    <row r="158" spans="1:9" s="112" customFormat="1" ht="14.25" customHeight="1">
      <c r="A158" s="600" t="s">
        <v>500</v>
      </c>
      <c r="B158" s="600"/>
      <c r="C158" s="600"/>
      <c r="D158" s="600"/>
      <c r="E158" s="600"/>
      <c r="F158" s="600"/>
      <c r="G158" s="600"/>
      <c r="H158" s="600"/>
      <c r="I158" s="600"/>
    </row>
    <row r="159" spans="1:2" s="111" customFormat="1" ht="12.75" hidden="1">
      <c r="A159" s="600" t="s">
        <v>378</v>
      </c>
      <c r="B159" s="600"/>
    </row>
    <row r="160" spans="1:9" s="111" customFormat="1" ht="15.75" customHeight="1" hidden="1">
      <c r="A160" s="596" t="s">
        <v>377</v>
      </c>
      <c r="B160" s="596"/>
      <c r="C160" s="596"/>
      <c r="D160" s="596"/>
      <c r="E160" s="596"/>
      <c r="F160" s="596"/>
      <c r="G160" s="596"/>
      <c r="H160" s="596"/>
      <c r="I160" s="596"/>
    </row>
    <row r="161" spans="1:5" s="123" customFormat="1" ht="25.5" hidden="1">
      <c r="A161" s="122" t="s">
        <v>125</v>
      </c>
      <c r="B161" s="122" t="s">
        <v>122</v>
      </c>
      <c r="C161" s="122" t="s">
        <v>196</v>
      </c>
      <c r="D161" s="122" t="s">
        <v>156</v>
      </c>
      <c r="E161" s="124" t="s">
        <v>154</v>
      </c>
    </row>
    <row r="162" spans="1:5" s="123" customFormat="1" ht="3" customHeight="1" hidden="1">
      <c r="A162" s="122">
        <v>1</v>
      </c>
      <c r="B162" s="122">
        <v>2</v>
      </c>
      <c r="C162" s="122">
        <v>3</v>
      </c>
      <c r="D162" s="122">
        <v>4</v>
      </c>
      <c r="E162" s="122">
        <v>5</v>
      </c>
    </row>
    <row r="163" spans="1:5" s="111" customFormat="1" ht="12.75" hidden="1">
      <c r="A163" s="115" t="s">
        <v>529</v>
      </c>
      <c r="B163" s="129"/>
      <c r="C163" s="114"/>
      <c r="D163" s="114"/>
      <c r="E163" s="205"/>
    </row>
    <row r="164" spans="1:5" s="111" customFormat="1" ht="12.75" hidden="1">
      <c r="A164" s="115" t="s">
        <v>530</v>
      </c>
      <c r="B164" s="137"/>
      <c r="C164" s="114"/>
      <c r="D164" s="114"/>
      <c r="E164" s="205"/>
    </row>
    <row r="165" spans="1:5" s="111" customFormat="1" ht="14.25" customHeight="1" hidden="1">
      <c r="A165" s="673" t="s">
        <v>497</v>
      </c>
      <c r="B165" s="674"/>
      <c r="C165" s="205">
        <f>SUM(C163:C164)</f>
        <v>0</v>
      </c>
      <c r="D165" s="114" t="s">
        <v>132</v>
      </c>
      <c r="E165" s="205">
        <f>SUM(E163:E164)</f>
        <v>0</v>
      </c>
    </row>
    <row r="166" spans="1:5" s="111" customFormat="1" ht="12.75" hidden="1">
      <c r="A166" s="115" t="s">
        <v>529</v>
      </c>
      <c r="B166" s="129"/>
      <c r="C166" s="114"/>
      <c r="D166" s="114"/>
      <c r="E166" s="205"/>
    </row>
    <row r="167" spans="1:5" s="111" customFormat="1" ht="12.75" hidden="1">
      <c r="A167" s="115" t="s">
        <v>530</v>
      </c>
      <c r="B167" s="137"/>
      <c r="C167" s="114"/>
      <c r="D167" s="114"/>
      <c r="E167" s="205"/>
    </row>
    <row r="168" spans="1:5" s="111" customFormat="1" ht="14.25" customHeight="1" hidden="1">
      <c r="A168" s="657" t="s">
        <v>367</v>
      </c>
      <c r="B168" s="648"/>
      <c r="C168" s="205">
        <f>SUM(C166:C167)</f>
        <v>0</v>
      </c>
      <c r="D168" s="114" t="s">
        <v>132</v>
      </c>
      <c r="E168" s="205">
        <f>SUM(E166:E167)</f>
        <v>0</v>
      </c>
    </row>
    <row r="169" spans="1:5" s="111" customFormat="1" ht="12.75" hidden="1">
      <c r="A169" s="615" t="s">
        <v>327</v>
      </c>
      <c r="B169" s="615"/>
      <c r="C169" s="113" t="s">
        <v>132</v>
      </c>
      <c r="D169" s="114" t="s">
        <v>132</v>
      </c>
      <c r="E169" s="223">
        <f>E165+E168</f>
        <v>0</v>
      </c>
    </row>
    <row r="170" spans="1:5" s="111" customFormat="1" ht="12.75" hidden="1">
      <c r="A170" s="179"/>
      <c r="B170" s="179"/>
      <c r="C170" s="135"/>
      <c r="D170" s="135"/>
      <c r="E170" s="226"/>
    </row>
    <row r="171" spans="1:9" s="112" customFormat="1" ht="17.25" customHeight="1" hidden="1">
      <c r="A171" s="600" t="s">
        <v>379</v>
      </c>
      <c r="B171" s="600"/>
      <c r="C171" s="640"/>
      <c r="D171" s="640"/>
      <c r="E171" s="640"/>
      <c r="F171" s="640"/>
      <c r="G171" s="640"/>
      <c r="H171" s="640"/>
      <c r="I171" s="640"/>
    </row>
    <row r="172" spans="1:9" s="112" customFormat="1" ht="17.25" customHeight="1" hidden="1">
      <c r="A172" s="600" t="s">
        <v>500</v>
      </c>
      <c r="B172" s="600"/>
      <c r="C172" s="600"/>
      <c r="D172" s="600"/>
      <c r="E172" s="600"/>
      <c r="F172" s="600"/>
      <c r="G172" s="600"/>
      <c r="H172" s="600"/>
      <c r="I172" s="600"/>
    </row>
    <row r="173" spans="1:2" s="111" customFormat="1" ht="12.75" customHeight="1" hidden="1">
      <c r="A173" s="600" t="s">
        <v>381</v>
      </c>
      <c r="B173" s="600"/>
    </row>
    <row r="174" spans="1:9" s="111" customFormat="1" ht="14.25" customHeight="1" hidden="1">
      <c r="A174" s="596" t="s">
        <v>380</v>
      </c>
      <c r="B174" s="596"/>
      <c r="C174" s="596"/>
      <c r="D174" s="596"/>
      <c r="E174" s="596"/>
      <c r="F174" s="596"/>
      <c r="G174" s="596"/>
      <c r="H174" s="596"/>
      <c r="I174" s="596"/>
    </row>
    <row r="175" spans="1:7" s="123" customFormat="1" ht="30" customHeight="1" hidden="1">
      <c r="A175" s="122" t="s">
        <v>125</v>
      </c>
      <c r="B175" s="122" t="s">
        <v>122</v>
      </c>
      <c r="C175" s="122" t="s">
        <v>415</v>
      </c>
      <c r="D175" s="122" t="s">
        <v>416</v>
      </c>
      <c r="E175" s="122" t="s">
        <v>195</v>
      </c>
      <c r="F175" s="122" t="s">
        <v>151</v>
      </c>
      <c r="G175" s="265" t="s">
        <v>417</v>
      </c>
    </row>
    <row r="176" spans="1:7" s="111" customFormat="1" ht="12.75" hidden="1">
      <c r="A176" s="114">
        <v>1</v>
      </c>
      <c r="B176" s="114">
        <v>2</v>
      </c>
      <c r="C176" s="114">
        <v>3</v>
      </c>
      <c r="D176" s="114">
        <v>4</v>
      </c>
      <c r="E176" s="114">
        <v>5</v>
      </c>
      <c r="F176" s="146">
        <v>6</v>
      </c>
      <c r="G176" s="232">
        <v>7</v>
      </c>
    </row>
    <row r="177" spans="1:7" s="111" customFormat="1" ht="12.75" hidden="1">
      <c r="A177" s="115" t="s">
        <v>531</v>
      </c>
      <c r="B177" s="129"/>
      <c r="C177" s="114"/>
      <c r="D177" s="114"/>
      <c r="E177" s="114"/>
      <c r="F177" s="146"/>
      <c r="G177" s="274">
        <f>C177*E177*F177</f>
        <v>0</v>
      </c>
    </row>
    <row r="178" spans="1:7" s="111" customFormat="1" ht="12.75" hidden="1">
      <c r="A178" s="115" t="s">
        <v>532</v>
      </c>
      <c r="B178" s="129"/>
      <c r="C178" s="114"/>
      <c r="D178" s="114"/>
      <c r="E178" s="114"/>
      <c r="F178" s="146"/>
      <c r="G178" s="126"/>
    </row>
    <row r="179" spans="1:7" s="111" customFormat="1" ht="12.75" customHeight="1" hidden="1">
      <c r="A179" s="673" t="s">
        <v>497</v>
      </c>
      <c r="B179" s="674"/>
      <c r="C179" s="114" t="s">
        <v>132</v>
      </c>
      <c r="D179" s="114" t="s">
        <v>132</v>
      </c>
      <c r="E179" s="114" t="s">
        <v>132</v>
      </c>
      <c r="F179" s="114" t="s">
        <v>132</v>
      </c>
      <c r="G179" s="274">
        <f>SUM(G177:G178)</f>
        <v>0</v>
      </c>
    </row>
    <row r="180" spans="1:7" s="111" customFormat="1" ht="12.75" hidden="1">
      <c r="A180" s="115" t="s">
        <v>531</v>
      </c>
      <c r="B180" s="129"/>
      <c r="C180" s="114"/>
      <c r="D180" s="114"/>
      <c r="E180" s="114"/>
      <c r="F180" s="146"/>
      <c r="G180" s="126"/>
    </row>
    <row r="181" spans="1:7" s="111" customFormat="1" ht="12.75" hidden="1">
      <c r="A181" s="115" t="s">
        <v>532</v>
      </c>
      <c r="B181" s="129"/>
      <c r="C181" s="114"/>
      <c r="D181" s="114"/>
      <c r="E181" s="114"/>
      <c r="F181" s="146"/>
      <c r="G181" s="126"/>
    </row>
    <row r="182" spans="1:7" s="111" customFormat="1" ht="12.75" customHeight="1" hidden="1">
      <c r="A182" s="657" t="s">
        <v>367</v>
      </c>
      <c r="B182" s="648"/>
      <c r="C182" s="114" t="s">
        <v>132</v>
      </c>
      <c r="D182" s="114" t="s">
        <v>132</v>
      </c>
      <c r="E182" s="114" t="s">
        <v>132</v>
      </c>
      <c r="F182" s="114" t="s">
        <v>132</v>
      </c>
      <c r="G182" s="274">
        <f>SUM(G180:G181)</f>
        <v>0</v>
      </c>
    </row>
    <row r="183" spans="1:7" s="111" customFormat="1" ht="14.25" customHeight="1" hidden="1">
      <c r="A183" s="621" t="s">
        <v>327</v>
      </c>
      <c r="B183" s="622"/>
      <c r="C183" s="114" t="s">
        <v>132</v>
      </c>
      <c r="D183" s="114" t="s">
        <v>132</v>
      </c>
      <c r="E183" s="114" t="s">
        <v>132</v>
      </c>
      <c r="F183" s="146" t="s">
        <v>132</v>
      </c>
      <c r="G183" s="353">
        <f>G179+G182</f>
        <v>0</v>
      </c>
    </row>
    <row r="184" s="111" customFormat="1" ht="6" customHeight="1" hidden="1">
      <c r="A184" s="108"/>
    </row>
    <row r="185" spans="1:9" s="111" customFormat="1" ht="17.25" customHeight="1" hidden="1">
      <c r="A185" s="600" t="s">
        <v>383</v>
      </c>
      <c r="B185" s="600"/>
      <c r="C185" s="117"/>
      <c r="D185" s="117"/>
      <c r="E185" s="117"/>
      <c r="F185" s="117"/>
      <c r="G185" s="117"/>
      <c r="H185" s="117"/>
      <c r="I185" s="117"/>
    </row>
    <row r="186" spans="1:9" s="121" customFormat="1" ht="17.25" customHeight="1" hidden="1">
      <c r="A186" s="596" t="s">
        <v>382</v>
      </c>
      <c r="B186" s="596"/>
      <c r="C186" s="596"/>
      <c r="D186" s="596"/>
      <c r="E186" s="596"/>
      <c r="F186" s="596"/>
      <c r="G186" s="596"/>
      <c r="H186" s="596"/>
      <c r="I186" s="596"/>
    </row>
    <row r="187" spans="1:5" s="123" customFormat="1" ht="25.5" hidden="1">
      <c r="A187" s="122" t="s">
        <v>125</v>
      </c>
      <c r="B187" s="122" t="s">
        <v>122</v>
      </c>
      <c r="C187" s="122" t="s">
        <v>152</v>
      </c>
      <c r="D187" s="122" t="s">
        <v>153</v>
      </c>
      <c r="E187" s="122" t="s">
        <v>154</v>
      </c>
    </row>
    <row r="188" spans="1:5" s="111" customFormat="1" ht="12.75" hidden="1">
      <c r="A188" s="114">
        <v>1</v>
      </c>
      <c r="B188" s="114">
        <v>2</v>
      </c>
      <c r="C188" s="114">
        <v>3</v>
      </c>
      <c r="D188" s="114">
        <v>4</v>
      </c>
      <c r="E188" s="114">
        <v>5</v>
      </c>
    </row>
    <row r="189" spans="1:5" s="111" customFormat="1" ht="12.75" hidden="1">
      <c r="A189" s="115" t="s">
        <v>533</v>
      </c>
      <c r="B189" s="129"/>
      <c r="C189" s="114"/>
      <c r="D189" s="114"/>
      <c r="E189" s="114"/>
    </row>
    <row r="190" spans="1:5" s="111" customFormat="1" ht="12.75" hidden="1">
      <c r="A190" s="115" t="s">
        <v>534</v>
      </c>
      <c r="B190" s="129"/>
      <c r="C190" s="114"/>
      <c r="D190" s="114"/>
      <c r="E190" s="114"/>
    </row>
    <row r="191" spans="1:5" s="111" customFormat="1" ht="14.25" customHeight="1" hidden="1">
      <c r="A191" s="673" t="s">
        <v>497</v>
      </c>
      <c r="B191" s="674"/>
      <c r="C191" s="205">
        <f>SUM(C189:C190)</f>
        <v>0</v>
      </c>
      <c r="D191" s="114" t="s">
        <v>132</v>
      </c>
      <c r="E191" s="205">
        <f>SUM(E189:E190)</f>
        <v>0</v>
      </c>
    </row>
    <row r="192" spans="1:5" s="111" customFormat="1" ht="12.75" hidden="1">
      <c r="A192" s="115" t="s">
        <v>533</v>
      </c>
      <c r="B192" s="129"/>
      <c r="C192" s="114"/>
      <c r="D192" s="114"/>
      <c r="E192" s="205"/>
    </row>
    <row r="193" spans="1:5" s="111" customFormat="1" ht="12.75" hidden="1">
      <c r="A193" s="115" t="s">
        <v>534</v>
      </c>
      <c r="B193" s="129"/>
      <c r="C193" s="114"/>
      <c r="D193" s="114"/>
      <c r="E193" s="205"/>
    </row>
    <row r="194" spans="1:5" s="111" customFormat="1" ht="14.25" customHeight="1" hidden="1">
      <c r="A194" s="657" t="s">
        <v>367</v>
      </c>
      <c r="B194" s="648"/>
      <c r="C194" s="205">
        <f>SUM(C192:C193)</f>
        <v>0</v>
      </c>
      <c r="D194" s="114" t="s">
        <v>132</v>
      </c>
      <c r="E194" s="205">
        <f>SUM(E192:E193)</f>
        <v>0</v>
      </c>
    </row>
    <row r="195" spans="1:5" s="111" customFormat="1" ht="12.75" hidden="1">
      <c r="A195" s="621" t="s">
        <v>327</v>
      </c>
      <c r="B195" s="622"/>
      <c r="C195" s="116"/>
      <c r="D195" s="116"/>
      <c r="E195" s="223">
        <f>E191+E194</f>
        <v>0</v>
      </c>
    </row>
    <row r="196" s="111" customFormat="1" ht="12.75" hidden="1">
      <c r="A196" s="108"/>
    </row>
    <row r="197" spans="1:2" s="111" customFormat="1" ht="12.75" hidden="1">
      <c r="A197" s="600" t="s">
        <v>385</v>
      </c>
      <c r="B197" s="600"/>
    </row>
    <row r="198" spans="1:9" s="111" customFormat="1" ht="17.25" customHeight="1" hidden="1">
      <c r="A198" s="596" t="s">
        <v>384</v>
      </c>
      <c r="B198" s="596"/>
      <c r="C198" s="596"/>
      <c r="D198" s="596"/>
      <c r="E198" s="596"/>
      <c r="F198" s="596"/>
      <c r="G198" s="596"/>
      <c r="H198" s="596"/>
      <c r="I198" s="596"/>
    </row>
    <row r="199" spans="1:9" s="123" customFormat="1" ht="45" customHeight="1" hidden="1">
      <c r="A199" s="122" t="s">
        <v>125</v>
      </c>
      <c r="B199" s="122" t="s">
        <v>1</v>
      </c>
      <c r="C199" s="124" t="s">
        <v>330</v>
      </c>
      <c r="D199" s="122" t="s">
        <v>331</v>
      </c>
      <c r="E199" s="124" t="s">
        <v>193</v>
      </c>
      <c r="F199" s="210" t="s">
        <v>154</v>
      </c>
      <c r="G199" s="211" t="s">
        <v>333</v>
      </c>
      <c r="H199" s="283"/>
      <c r="I199" s="283"/>
    </row>
    <row r="200" spans="1:9" s="123" customFormat="1" ht="12.75" hidden="1">
      <c r="A200" s="122">
        <v>1</v>
      </c>
      <c r="B200" s="122">
        <v>2</v>
      </c>
      <c r="C200" s="122">
        <v>3</v>
      </c>
      <c r="D200" s="122">
        <v>3</v>
      </c>
      <c r="E200" s="122">
        <v>4</v>
      </c>
      <c r="F200" s="147">
        <v>5</v>
      </c>
      <c r="G200" s="148">
        <v>6</v>
      </c>
      <c r="H200" s="284"/>
      <c r="I200" s="284"/>
    </row>
    <row r="201" spans="1:9" s="111" customFormat="1" ht="12.75" hidden="1">
      <c r="A201" s="115" t="s">
        <v>535</v>
      </c>
      <c r="B201" s="187" t="s">
        <v>194</v>
      </c>
      <c r="C201" s="159" t="s">
        <v>132</v>
      </c>
      <c r="D201" s="159" t="s">
        <v>132</v>
      </c>
      <c r="E201" s="159" t="s">
        <v>132</v>
      </c>
      <c r="F201" s="188" t="s">
        <v>132</v>
      </c>
      <c r="G201" s="173" t="s">
        <v>132</v>
      </c>
      <c r="H201" s="180"/>
      <c r="I201" s="180"/>
    </row>
    <row r="202" spans="1:9" s="111" customFormat="1" ht="12.75" hidden="1">
      <c r="A202" s="115"/>
      <c r="B202" s="212" t="s">
        <v>334</v>
      </c>
      <c r="C202" s="114"/>
      <c r="D202" s="114"/>
      <c r="E202" s="114">
        <v>5.53</v>
      </c>
      <c r="F202" s="231">
        <f>D202*E202</f>
        <v>0</v>
      </c>
      <c r="G202" s="208"/>
      <c r="H202" s="209"/>
      <c r="I202" s="209"/>
    </row>
    <row r="203" spans="1:9" s="111" customFormat="1" ht="12.75" hidden="1">
      <c r="A203" s="115"/>
      <c r="B203" s="212" t="s">
        <v>335</v>
      </c>
      <c r="C203" s="114"/>
      <c r="D203" s="114"/>
      <c r="E203" s="114">
        <v>5.53</v>
      </c>
      <c r="F203" s="231">
        <f>D203*E203</f>
        <v>0</v>
      </c>
      <c r="G203" s="208"/>
      <c r="H203" s="209"/>
      <c r="I203" s="209"/>
    </row>
    <row r="204" spans="1:9" s="111" customFormat="1" ht="12.75" hidden="1">
      <c r="A204" s="115"/>
      <c r="B204" s="212" t="s">
        <v>336</v>
      </c>
      <c r="C204" s="114"/>
      <c r="D204" s="114"/>
      <c r="E204" s="114">
        <v>5.53</v>
      </c>
      <c r="F204" s="231">
        <f>D204*E204</f>
        <v>0</v>
      </c>
      <c r="G204" s="208"/>
      <c r="H204" s="209"/>
      <c r="I204" s="209"/>
    </row>
    <row r="205" spans="1:9" s="111" customFormat="1" ht="13.5" hidden="1">
      <c r="A205" s="115"/>
      <c r="B205" s="213" t="s">
        <v>337</v>
      </c>
      <c r="C205" s="214">
        <f>SUM(C202:C204)</f>
        <v>0</v>
      </c>
      <c r="D205" s="214">
        <f>SUM(D202:D204)</f>
        <v>0</v>
      </c>
      <c r="E205" s="159" t="s">
        <v>132</v>
      </c>
      <c r="F205" s="354">
        <f>SUM(F202:F204)</f>
        <v>0</v>
      </c>
      <c r="G205" s="215">
        <f>SUM(G202:G204)</f>
        <v>0</v>
      </c>
      <c r="H205" s="285"/>
      <c r="I205" s="285"/>
    </row>
    <row r="206" spans="1:9" s="111" customFormat="1" ht="12.75" hidden="1">
      <c r="A206" s="115"/>
      <c r="B206" s="212" t="s">
        <v>338</v>
      </c>
      <c r="C206" s="114"/>
      <c r="D206" s="114"/>
      <c r="E206" s="114">
        <v>5.53</v>
      </c>
      <c r="F206" s="231">
        <f>D206*E206</f>
        <v>0</v>
      </c>
      <c r="G206" s="208"/>
      <c r="H206" s="209"/>
      <c r="I206" s="209"/>
    </row>
    <row r="207" spans="1:9" s="111" customFormat="1" ht="12.75" hidden="1">
      <c r="A207" s="115"/>
      <c r="B207" s="212" t="s">
        <v>339</v>
      </c>
      <c r="C207" s="114"/>
      <c r="D207" s="114"/>
      <c r="E207" s="114">
        <v>5.53</v>
      </c>
      <c r="F207" s="231">
        <f>D207*E207</f>
        <v>0</v>
      </c>
      <c r="G207" s="208"/>
      <c r="H207" s="209"/>
      <c r="I207" s="209"/>
    </row>
    <row r="208" spans="1:9" s="111" customFormat="1" ht="12.75" hidden="1">
      <c r="A208" s="115"/>
      <c r="B208" s="212" t="s">
        <v>340</v>
      </c>
      <c r="C208" s="114"/>
      <c r="D208" s="114"/>
      <c r="E208" s="114">
        <v>5.53</v>
      </c>
      <c r="F208" s="231">
        <f>D208*E208</f>
        <v>0</v>
      </c>
      <c r="G208" s="208"/>
      <c r="H208" s="209"/>
      <c r="I208" s="209"/>
    </row>
    <row r="209" spans="1:9" s="111" customFormat="1" ht="13.5" hidden="1">
      <c r="A209" s="115"/>
      <c r="B209" s="213" t="s">
        <v>341</v>
      </c>
      <c r="C209" s="214">
        <f>SUM(C206:C208)</f>
        <v>0</v>
      </c>
      <c r="D209" s="214">
        <f>SUM(D206:D208)</f>
        <v>0</v>
      </c>
      <c r="E209" s="159" t="s">
        <v>132</v>
      </c>
      <c r="F209" s="355">
        <f>SUM(F206:F208)</f>
        <v>0</v>
      </c>
      <c r="G209" s="216">
        <f>SUM(G206:G208)</f>
        <v>0</v>
      </c>
      <c r="H209" s="286"/>
      <c r="I209" s="286"/>
    </row>
    <row r="210" spans="1:9" s="111" customFormat="1" ht="12.75" hidden="1">
      <c r="A210" s="115"/>
      <c r="B210" s="212" t="s">
        <v>342</v>
      </c>
      <c r="C210" s="114"/>
      <c r="D210" s="114"/>
      <c r="E210" s="114">
        <v>5.53</v>
      </c>
      <c r="F210" s="231">
        <f>D210*E210</f>
        <v>0</v>
      </c>
      <c r="G210" s="208"/>
      <c r="H210" s="209"/>
      <c r="I210" s="209"/>
    </row>
    <row r="211" spans="1:9" s="111" customFormat="1" ht="12.75" hidden="1">
      <c r="A211" s="115"/>
      <c r="B211" s="212" t="s">
        <v>343</v>
      </c>
      <c r="C211" s="114"/>
      <c r="D211" s="114"/>
      <c r="E211" s="114">
        <v>5.53</v>
      </c>
      <c r="F211" s="231">
        <f>D211*E211</f>
        <v>0</v>
      </c>
      <c r="G211" s="208"/>
      <c r="H211" s="209"/>
      <c r="I211" s="209"/>
    </row>
    <row r="212" spans="1:9" s="111" customFormat="1" ht="12.75" hidden="1">
      <c r="A212" s="115"/>
      <c r="B212" s="212" t="s">
        <v>344</v>
      </c>
      <c r="C212" s="114"/>
      <c r="D212" s="114"/>
      <c r="E212" s="114">
        <v>5.53</v>
      </c>
      <c r="F212" s="231">
        <f>D212*E212</f>
        <v>0</v>
      </c>
      <c r="G212" s="208"/>
      <c r="H212" s="209"/>
      <c r="I212" s="209"/>
    </row>
    <row r="213" spans="1:9" s="111" customFormat="1" ht="13.5" hidden="1">
      <c r="A213" s="115"/>
      <c r="B213" s="213" t="s">
        <v>341</v>
      </c>
      <c r="C213" s="214">
        <f>SUM(C210:C212)</f>
        <v>0</v>
      </c>
      <c r="D213" s="214">
        <f>SUM(D210:D212)</f>
        <v>0</v>
      </c>
      <c r="E213" s="159" t="s">
        <v>132</v>
      </c>
      <c r="F213" s="354">
        <f>SUM(F210:F212)</f>
        <v>0</v>
      </c>
      <c r="G213" s="216">
        <f>SUM(G210:G212)</f>
        <v>0</v>
      </c>
      <c r="H213" s="286"/>
      <c r="I213" s="286"/>
    </row>
    <row r="214" spans="1:9" s="111" customFormat="1" ht="12.75" hidden="1">
      <c r="A214" s="184"/>
      <c r="B214" s="212" t="s">
        <v>345</v>
      </c>
      <c r="C214" s="113"/>
      <c r="D214" s="114"/>
      <c r="E214" s="114">
        <v>5.53</v>
      </c>
      <c r="F214" s="231">
        <f>D214*E214</f>
        <v>0</v>
      </c>
      <c r="G214" s="208"/>
      <c r="H214" s="209"/>
      <c r="I214" s="209"/>
    </row>
    <row r="215" spans="1:9" s="111" customFormat="1" ht="12.75" hidden="1">
      <c r="A215" s="184"/>
      <c r="B215" s="212" t="s">
        <v>346</v>
      </c>
      <c r="C215" s="113"/>
      <c r="D215" s="114"/>
      <c r="E215" s="114">
        <v>5.53</v>
      </c>
      <c r="F215" s="231">
        <f>D215*E215</f>
        <v>0</v>
      </c>
      <c r="G215" s="208"/>
      <c r="H215" s="209"/>
      <c r="I215" s="209"/>
    </row>
    <row r="216" spans="1:9" s="111" customFormat="1" ht="12.75" hidden="1">
      <c r="A216" s="184"/>
      <c r="B216" s="212" t="s">
        <v>347</v>
      </c>
      <c r="C216" s="113"/>
      <c r="D216" s="114"/>
      <c r="E216" s="114">
        <v>5.53</v>
      </c>
      <c r="F216" s="231">
        <f>D216*E216</f>
        <v>0</v>
      </c>
      <c r="G216" s="208"/>
      <c r="H216" s="209"/>
      <c r="I216" s="209"/>
    </row>
    <row r="217" spans="1:9" s="111" customFormat="1" ht="13.5" hidden="1">
      <c r="A217" s="115"/>
      <c r="B217" s="213" t="s">
        <v>536</v>
      </c>
      <c r="C217" s="214">
        <f>SUM(C214:C216)</f>
        <v>0</v>
      </c>
      <c r="D217" s="214">
        <f>SUM(D214:D216)</f>
        <v>0</v>
      </c>
      <c r="E217" s="159" t="s">
        <v>132</v>
      </c>
      <c r="F217" s="355">
        <f>SUM(F214:F216)</f>
        <v>0</v>
      </c>
      <c r="G217" s="216">
        <f>SUM(G214:G216)</f>
        <v>0</v>
      </c>
      <c r="H217" s="286"/>
      <c r="I217" s="286"/>
    </row>
    <row r="218" spans="1:9" s="111" customFormat="1" ht="13.5" hidden="1">
      <c r="A218" s="115"/>
      <c r="B218" s="217" t="s">
        <v>349</v>
      </c>
      <c r="C218" s="214">
        <f>C205+C209+C213+C217</f>
        <v>0</v>
      </c>
      <c r="D218" s="214">
        <f>D205+D209+D213+D217</f>
        <v>0</v>
      </c>
      <c r="E218" s="159" t="s">
        <v>132</v>
      </c>
      <c r="F218" s="355">
        <f>F205+F209+F213+F217</f>
        <v>0</v>
      </c>
      <c r="G218" s="216">
        <f>G205+G209+G213+G217</f>
        <v>0</v>
      </c>
      <c r="H218" s="286"/>
      <c r="I218" s="286"/>
    </row>
    <row r="219" spans="1:9" s="111" customFormat="1" ht="12.75" hidden="1">
      <c r="A219" s="115" t="s">
        <v>537</v>
      </c>
      <c r="B219" s="187" t="s">
        <v>176</v>
      </c>
      <c r="C219" s="159" t="s">
        <v>132</v>
      </c>
      <c r="D219" s="159" t="s">
        <v>132</v>
      </c>
      <c r="E219" s="159" t="s">
        <v>132</v>
      </c>
      <c r="F219" s="188" t="s">
        <v>132</v>
      </c>
      <c r="G219" s="173" t="s">
        <v>132</v>
      </c>
      <c r="H219" s="180"/>
      <c r="I219" s="180"/>
    </row>
    <row r="220" spans="1:9" s="111" customFormat="1" ht="12.75" hidden="1">
      <c r="A220" s="115"/>
      <c r="B220" s="212" t="s">
        <v>334</v>
      </c>
      <c r="C220" s="114"/>
      <c r="D220" s="114"/>
      <c r="E220" s="114">
        <v>1220.6</v>
      </c>
      <c r="F220" s="231">
        <f>D220*E220</f>
        <v>0</v>
      </c>
      <c r="G220" s="208"/>
      <c r="H220" s="209"/>
      <c r="I220" s="209"/>
    </row>
    <row r="221" spans="1:9" s="111" customFormat="1" ht="12.75" hidden="1">
      <c r="A221" s="115"/>
      <c r="B221" s="212" t="s">
        <v>335</v>
      </c>
      <c r="C221" s="114"/>
      <c r="D221" s="114"/>
      <c r="E221" s="114">
        <v>1220.6</v>
      </c>
      <c r="F221" s="231">
        <f>D221*E221</f>
        <v>0</v>
      </c>
      <c r="G221" s="208"/>
      <c r="H221" s="209"/>
      <c r="I221" s="209"/>
    </row>
    <row r="222" spans="1:9" s="111" customFormat="1" ht="12.75" hidden="1">
      <c r="A222" s="115"/>
      <c r="B222" s="212" t="s">
        <v>336</v>
      </c>
      <c r="C222" s="114"/>
      <c r="D222" s="114"/>
      <c r="E222" s="114">
        <v>1220.6</v>
      </c>
      <c r="F222" s="231">
        <f>D222*E222</f>
        <v>0</v>
      </c>
      <c r="G222" s="208"/>
      <c r="H222" s="209"/>
      <c r="I222" s="209"/>
    </row>
    <row r="223" spans="1:9" s="111" customFormat="1" ht="13.5" hidden="1">
      <c r="A223" s="115"/>
      <c r="B223" s="213" t="s">
        <v>337</v>
      </c>
      <c r="C223" s="214">
        <f>SUM(C220:C222)</f>
        <v>0</v>
      </c>
      <c r="D223" s="214">
        <f>SUM(D220:D222)</f>
        <v>0</v>
      </c>
      <c r="E223" s="159" t="s">
        <v>132</v>
      </c>
      <c r="F223" s="354">
        <f>SUM(F220:F222)</f>
        <v>0</v>
      </c>
      <c r="G223" s="215">
        <f>SUM(G220:G222)</f>
        <v>0</v>
      </c>
      <c r="H223" s="285"/>
      <c r="I223" s="285"/>
    </row>
    <row r="224" spans="1:9" s="111" customFormat="1" ht="12.75" hidden="1">
      <c r="A224" s="115"/>
      <c r="B224" s="212" t="s">
        <v>338</v>
      </c>
      <c r="C224" s="114"/>
      <c r="D224" s="114"/>
      <c r="E224" s="114">
        <v>1220.6</v>
      </c>
      <c r="F224" s="231">
        <f>D224*E224</f>
        <v>0</v>
      </c>
      <c r="G224" s="208"/>
      <c r="H224" s="209"/>
      <c r="I224" s="209"/>
    </row>
    <row r="225" spans="1:9" s="111" customFormat="1" ht="12.75" hidden="1">
      <c r="A225" s="115"/>
      <c r="B225" s="212" t="s">
        <v>339</v>
      </c>
      <c r="C225" s="114"/>
      <c r="D225" s="114"/>
      <c r="E225" s="114">
        <v>1220.6</v>
      </c>
      <c r="F225" s="231">
        <f>D225*E225</f>
        <v>0</v>
      </c>
      <c r="G225" s="208"/>
      <c r="H225" s="209"/>
      <c r="I225" s="209"/>
    </row>
    <row r="226" spans="1:9" s="111" customFormat="1" ht="12.75" hidden="1">
      <c r="A226" s="115"/>
      <c r="B226" s="212" t="s">
        <v>340</v>
      </c>
      <c r="C226" s="114"/>
      <c r="D226" s="114"/>
      <c r="E226" s="114">
        <v>1220.6</v>
      </c>
      <c r="F226" s="231">
        <f>D226*E226</f>
        <v>0</v>
      </c>
      <c r="G226" s="208"/>
      <c r="H226" s="209"/>
      <c r="I226" s="209"/>
    </row>
    <row r="227" spans="1:9" s="111" customFormat="1" ht="13.5" hidden="1">
      <c r="A227" s="115"/>
      <c r="B227" s="213" t="s">
        <v>341</v>
      </c>
      <c r="C227" s="214">
        <f>SUM(C224:C226)</f>
        <v>0</v>
      </c>
      <c r="D227" s="214">
        <f>SUM(D224:D226)</f>
        <v>0</v>
      </c>
      <c r="E227" s="159" t="s">
        <v>132</v>
      </c>
      <c r="F227" s="355">
        <f>SUM(F224:F226)</f>
        <v>0</v>
      </c>
      <c r="G227" s="216">
        <f>SUM(G224:G226)</f>
        <v>0</v>
      </c>
      <c r="H227" s="286"/>
      <c r="I227" s="286"/>
    </row>
    <row r="228" spans="1:9" s="111" customFormat="1" ht="12.75" hidden="1">
      <c r="A228" s="115"/>
      <c r="B228" s="212" t="s">
        <v>342</v>
      </c>
      <c r="C228" s="114"/>
      <c r="D228" s="114"/>
      <c r="E228" s="114">
        <v>1266.22</v>
      </c>
      <c r="F228" s="231">
        <f>D228*E228</f>
        <v>0</v>
      </c>
      <c r="G228" s="208"/>
      <c r="H228" s="209"/>
      <c r="I228" s="209"/>
    </row>
    <row r="229" spans="1:9" s="111" customFormat="1" ht="12.75" hidden="1">
      <c r="A229" s="115"/>
      <c r="B229" s="212" t="s">
        <v>343</v>
      </c>
      <c r="C229" s="114"/>
      <c r="D229" s="114"/>
      <c r="E229" s="114">
        <v>1266.22</v>
      </c>
      <c r="F229" s="231">
        <f>D229*E229</f>
        <v>0</v>
      </c>
      <c r="G229" s="208"/>
      <c r="H229" s="209"/>
      <c r="I229" s="209"/>
    </row>
    <row r="230" spans="1:9" s="111" customFormat="1" ht="12.75" hidden="1">
      <c r="A230" s="115"/>
      <c r="B230" s="212" t="s">
        <v>344</v>
      </c>
      <c r="C230" s="114"/>
      <c r="D230" s="114"/>
      <c r="E230" s="114">
        <v>1266.22</v>
      </c>
      <c r="F230" s="231">
        <f>D230*E230</f>
        <v>0</v>
      </c>
      <c r="G230" s="208"/>
      <c r="H230" s="209"/>
      <c r="I230" s="209"/>
    </row>
    <row r="231" spans="1:9" s="111" customFormat="1" ht="13.5" hidden="1">
      <c r="A231" s="115"/>
      <c r="B231" s="213" t="s">
        <v>341</v>
      </c>
      <c r="C231" s="214">
        <f>SUM(C228:C230)</f>
        <v>0</v>
      </c>
      <c r="D231" s="214">
        <f>SUM(D228:D230)</f>
        <v>0</v>
      </c>
      <c r="E231" s="159" t="s">
        <v>132</v>
      </c>
      <c r="F231" s="354">
        <f>SUM(F228:F230)</f>
        <v>0</v>
      </c>
      <c r="G231" s="215">
        <f>SUM(G228:G230)</f>
        <v>0</v>
      </c>
      <c r="H231" s="285"/>
      <c r="I231" s="285"/>
    </row>
    <row r="232" spans="1:9" s="111" customFormat="1" ht="12.75" hidden="1">
      <c r="A232" s="184"/>
      <c r="B232" s="212" t="s">
        <v>345</v>
      </c>
      <c r="C232" s="113"/>
      <c r="D232" s="114"/>
      <c r="E232" s="114">
        <v>1266.22</v>
      </c>
      <c r="F232" s="231">
        <f>D232*E232</f>
        <v>0</v>
      </c>
      <c r="G232" s="208"/>
      <c r="H232" s="209"/>
      <c r="I232" s="209"/>
    </row>
    <row r="233" spans="1:9" s="111" customFormat="1" ht="12.75" hidden="1">
      <c r="A233" s="184"/>
      <c r="B233" s="212" t="s">
        <v>346</v>
      </c>
      <c r="C233" s="113"/>
      <c r="D233" s="114"/>
      <c r="E233" s="114">
        <v>1266.22</v>
      </c>
      <c r="F233" s="231">
        <f>D233*E233</f>
        <v>0</v>
      </c>
      <c r="G233" s="208"/>
      <c r="H233" s="209"/>
      <c r="I233" s="209"/>
    </row>
    <row r="234" spans="1:9" s="111" customFormat="1" ht="12.75" hidden="1">
      <c r="A234" s="184"/>
      <c r="B234" s="212" t="s">
        <v>347</v>
      </c>
      <c r="C234" s="113"/>
      <c r="D234" s="114"/>
      <c r="E234" s="114">
        <v>1266.22</v>
      </c>
      <c r="F234" s="231">
        <f>D234*E234</f>
        <v>0</v>
      </c>
      <c r="G234" s="208"/>
      <c r="H234" s="209"/>
      <c r="I234" s="209"/>
    </row>
    <row r="235" spans="1:9" s="111" customFormat="1" ht="13.5" hidden="1">
      <c r="A235" s="115"/>
      <c r="B235" s="213" t="s">
        <v>536</v>
      </c>
      <c r="C235" s="214">
        <f>SUM(C232:C234)</f>
        <v>0</v>
      </c>
      <c r="D235" s="214">
        <f>SUM(D232:D234)</f>
        <v>0</v>
      </c>
      <c r="E235" s="159" t="s">
        <v>132</v>
      </c>
      <c r="F235" s="355">
        <f>SUM(F232:F234)</f>
        <v>0</v>
      </c>
      <c r="G235" s="216">
        <f>SUM(G232:G234)</f>
        <v>0</v>
      </c>
      <c r="H235" s="286"/>
      <c r="I235" s="286"/>
    </row>
    <row r="236" spans="1:9" s="111" customFormat="1" ht="13.5" hidden="1">
      <c r="A236" s="115"/>
      <c r="B236" s="217" t="s">
        <v>349</v>
      </c>
      <c r="C236" s="214">
        <f>C223+C227+C231+C235</f>
        <v>0</v>
      </c>
      <c r="D236" s="214">
        <f>D223+D227+D231+D235</f>
        <v>0</v>
      </c>
      <c r="E236" s="159" t="s">
        <v>132</v>
      </c>
      <c r="F236" s="355">
        <f>F223+F227+F231+F235</f>
        <v>0</v>
      </c>
      <c r="G236" s="216">
        <f>G223+G227+G231+G235</f>
        <v>0</v>
      </c>
      <c r="H236" s="286"/>
      <c r="I236" s="286"/>
    </row>
    <row r="237" spans="1:9" s="111" customFormat="1" ht="0.75" customHeight="1" hidden="1">
      <c r="A237" s="115" t="s">
        <v>538</v>
      </c>
      <c r="B237" s="187" t="s">
        <v>177</v>
      </c>
      <c r="C237" s="159" t="s">
        <v>132</v>
      </c>
      <c r="D237" s="159" t="s">
        <v>132</v>
      </c>
      <c r="E237" s="159" t="s">
        <v>132</v>
      </c>
      <c r="F237" s="188" t="s">
        <v>132</v>
      </c>
      <c r="G237" s="173" t="s">
        <v>132</v>
      </c>
      <c r="H237" s="180"/>
      <c r="I237" s="180"/>
    </row>
    <row r="238" spans="1:9" s="111" customFormat="1" ht="12.75" hidden="1">
      <c r="A238" s="115"/>
      <c r="B238" s="212" t="s">
        <v>334</v>
      </c>
      <c r="C238" s="114"/>
      <c r="D238" s="114"/>
      <c r="E238" s="114">
        <v>28.91</v>
      </c>
      <c r="F238" s="231">
        <f>D238*E238</f>
        <v>0</v>
      </c>
      <c r="G238" s="208"/>
      <c r="H238" s="209"/>
      <c r="I238" s="209"/>
    </row>
    <row r="239" spans="1:9" s="111" customFormat="1" ht="12.75" hidden="1">
      <c r="A239" s="115"/>
      <c r="B239" s="212" t="s">
        <v>335</v>
      </c>
      <c r="C239" s="114"/>
      <c r="D239" s="114"/>
      <c r="E239" s="114">
        <v>28.91</v>
      </c>
      <c r="F239" s="231">
        <f>D239*E239</f>
        <v>0</v>
      </c>
      <c r="G239" s="208"/>
      <c r="H239" s="209"/>
      <c r="I239" s="209"/>
    </row>
    <row r="240" spans="1:9" s="111" customFormat="1" ht="12.75" hidden="1">
      <c r="A240" s="115"/>
      <c r="B240" s="212" t="s">
        <v>336</v>
      </c>
      <c r="C240" s="114"/>
      <c r="D240" s="114"/>
      <c r="E240" s="114">
        <v>28.91</v>
      </c>
      <c r="F240" s="231">
        <f>D240*E240</f>
        <v>0</v>
      </c>
      <c r="G240" s="208"/>
      <c r="H240" s="209"/>
      <c r="I240" s="209"/>
    </row>
    <row r="241" spans="1:9" s="111" customFormat="1" ht="13.5" hidden="1">
      <c r="A241" s="115"/>
      <c r="B241" s="213" t="s">
        <v>337</v>
      </c>
      <c r="C241" s="214">
        <f>SUM(C238:C240)</f>
        <v>0</v>
      </c>
      <c r="D241" s="214">
        <f>SUM(D238:D240)</f>
        <v>0</v>
      </c>
      <c r="E241" s="159" t="s">
        <v>132</v>
      </c>
      <c r="F241" s="354">
        <f>SUM(F238:F240)</f>
        <v>0</v>
      </c>
      <c r="G241" s="215">
        <f>SUM(G238:G240)</f>
        <v>0</v>
      </c>
      <c r="H241" s="285"/>
      <c r="I241" s="285"/>
    </row>
    <row r="242" spans="1:9" s="111" customFormat="1" ht="12.75" hidden="1">
      <c r="A242" s="115"/>
      <c r="B242" s="212" t="s">
        <v>338</v>
      </c>
      <c r="C242" s="114"/>
      <c r="D242" s="114"/>
      <c r="E242" s="114">
        <v>28.91</v>
      </c>
      <c r="F242" s="231">
        <f>D242*E242</f>
        <v>0</v>
      </c>
      <c r="G242" s="208"/>
      <c r="H242" s="209"/>
      <c r="I242" s="209"/>
    </row>
    <row r="243" spans="1:9" s="111" customFormat="1" ht="12.75" hidden="1">
      <c r="A243" s="115"/>
      <c r="B243" s="212" t="s">
        <v>339</v>
      </c>
      <c r="C243" s="114"/>
      <c r="D243" s="114"/>
      <c r="E243" s="114">
        <v>28.91</v>
      </c>
      <c r="F243" s="231">
        <f>D243*E243</f>
        <v>0</v>
      </c>
      <c r="G243" s="208"/>
      <c r="H243" s="209"/>
      <c r="I243" s="209"/>
    </row>
    <row r="244" spans="1:9" s="111" customFormat="1" ht="12.75" hidden="1">
      <c r="A244" s="115"/>
      <c r="B244" s="212" t="s">
        <v>340</v>
      </c>
      <c r="C244" s="114"/>
      <c r="D244" s="114"/>
      <c r="E244" s="114">
        <v>28.91</v>
      </c>
      <c r="F244" s="231">
        <f>D244*E244</f>
        <v>0</v>
      </c>
      <c r="G244" s="208"/>
      <c r="H244" s="209"/>
      <c r="I244" s="209"/>
    </row>
    <row r="245" spans="1:9" s="111" customFormat="1" ht="13.5" hidden="1">
      <c r="A245" s="115"/>
      <c r="B245" s="213" t="s">
        <v>341</v>
      </c>
      <c r="C245" s="214">
        <f>SUM(C242:C244)</f>
        <v>0</v>
      </c>
      <c r="D245" s="214">
        <f>SUM(D242:D244)</f>
        <v>0</v>
      </c>
      <c r="E245" s="159" t="s">
        <v>132</v>
      </c>
      <c r="F245" s="355">
        <f>SUM(F242:F244)</f>
        <v>0</v>
      </c>
      <c r="G245" s="216">
        <f>SUM(G242:G244)</f>
        <v>0</v>
      </c>
      <c r="H245" s="286"/>
      <c r="I245" s="286"/>
    </row>
    <row r="246" spans="1:9" s="111" customFormat="1" ht="12.75" hidden="1">
      <c r="A246" s="115"/>
      <c r="B246" s="212" t="s">
        <v>342</v>
      </c>
      <c r="C246" s="114"/>
      <c r="D246" s="114"/>
      <c r="E246" s="114">
        <v>31.01</v>
      </c>
      <c r="F246" s="231">
        <f>D246*E246</f>
        <v>0</v>
      </c>
      <c r="G246" s="208"/>
      <c r="H246" s="209"/>
      <c r="I246" s="209"/>
    </row>
    <row r="247" spans="1:9" s="111" customFormat="1" ht="12.75" hidden="1">
      <c r="A247" s="115"/>
      <c r="B247" s="212" t="s">
        <v>343</v>
      </c>
      <c r="C247" s="114"/>
      <c r="D247" s="114"/>
      <c r="E247" s="114">
        <v>31.01</v>
      </c>
      <c r="F247" s="231">
        <f>D247*E247</f>
        <v>0</v>
      </c>
      <c r="G247" s="208"/>
      <c r="H247" s="209"/>
      <c r="I247" s="209"/>
    </row>
    <row r="248" spans="1:9" s="111" customFormat="1" ht="12.75" hidden="1">
      <c r="A248" s="115"/>
      <c r="B248" s="212" t="s">
        <v>344</v>
      </c>
      <c r="C248" s="114"/>
      <c r="D248" s="114"/>
      <c r="E248" s="114">
        <v>31.01</v>
      </c>
      <c r="F248" s="231">
        <f>D248*E248</f>
        <v>0</v>
      </c>
      <c r="G248" s="208"/>
      <c r="H248" s="209"/>
      <c r="I248" s="209"/>
    </row>
    <row r="249" spans="1:9" s="111" customFormat="1" ht="13.5" hidden="1">
      <c r="A249" s="115"/>
      <c r="B249" s="213" t="s">
        <v>341</v>
      </c>
      <c r="C249" s="214">
        <f>SUM(C246:C248)</f>
        <v>0</v>
      </c>
      <c r="D249" s="214">
        <f>SUM(D246:D248)</f>
        <v>0</v>
      </c>
      <c r="E249" s="159" t="s">
        <v>132</v>
      </c>
      <c r="F249" s="354">
        <f>SUM(F246:F248)</f>
        <v>0</v>
      </c>
      <c r="G249" s="215">
        <f>SUM(G246:G248)</f>
        <v>0</v>
      </c>
      <c r="H249" s="285"/>
      <c r="I249" s="285"/>
    </row>
    <row r="250" spans="1:9" s="111" customFormat="1" ht="12.75" hidden="1">
      <c r="A250" s="184"/>
      <c r="B250" s="212" t="s">
        <v>345</v>
      </c>
      <c r="C250" s="113"/>
      <c r="D250" s="114"/>
      <c r="E250" s="114">
        <v>31.01</v>
      </c>
      <c r="F250" s="231">
        <f>D250*E250</f>
        <v>0</v>
      </c>
      <c r="G250" s="208"/>
      <c r="H250" s="209"/>
      <c r="I250" s="209"/>
    </row>
    <row r="251" spans="1:9" s="111" customFormat="1" ht="12.75" hidden="1">
      <c r="A251" s="184"/>
      <c r="B251" s="212" t="s">
        <v>346</v>
      </c>
      <c r="C251" s="113"/>
      <c r="D251" s="114"/>
      <c r="E251" s="114">
        <v>31.01</v>
      </c>
      <c r="F251" s="231">
        <f>D251*E251</f>
        <v>0</v>
      </c>
      <c r="G251" s="208"/>
      <c r="H251" s="209"/>
      <c r="I251" s="209"/>
    </row>
    <row r="252" spans="1:9" s="111" customFormat="1" ht="12.75" hidden="1">
      <c r="A252" s="184"/>
      <c r="B252" s="212" t="s">
        <v>347</v>
      </c>
      <c r="C252" s="113"/>
      <c r="D252" s="114"/>
      <c r="E252" s="114">
        <v>31.01</v>
      </c>
      <c r="F252" s="231">
        <f>D252*E252</f>
        <v>0</v>
      </c>
      <c r="G252" s="208"/>
      <c r="H252" s="209"/>
      <c r="I252" s="209"/>
    </row>
    <row r="253" spans="1:9" s="111" customFormat="1" ht="13.5" hidden="1">
      <c r="A253" s="115"/>
      <c r="B253" s="213" t="s">
        <v>536</v>
      </c>
      <c r="C253" s="214">
        <f>SUM(C250:C252)</f>
        <v>0</v>
      </c>
      <c r="D253" s="214">
        <f>SUM(D250:D252)</f>
        <v>0</v>
      </c>
      <c r="E253" s="159" t="s">
        <v>132</v>
      </c>
      <c r="F253" s="355">
        <f>SUM(F250:F252)</f>
        <v>0</v>
      </c>
      <c r="G253" s="216">
        <f>SUM(G250:G252)</f>
        <v>0</v>
      </c>
      <c r="H253" s="286"/>
      <c r="I253" s="286"/>
    </row>
    <row r="254" spans="1:9" s="111" customFormat="1" ht="13.5" hidden="1">
      <c r="A254" s="115"/>
      <c r="B254" s="217" t="s">
        <v>349</v>
      </c>
      <c r="C254" s="214">
        <f>C241+C245+C249+C253</f>
        <v>0</v>
      </c>
      <c r="D254" s="214">
        <f>D241+D245+D249+D253</f>
        <v>0</v>
      </c>
      <c r="E254" s="159" t="s">
        <v>132</v>
      </c>
      <c r="F254" s="355">
        <f>F241+F245+F249+F253</f>
        <v>0</v>
      </c>
      <c r="G254" s="216">
        <f>G241+G245+G249+G253</f>
        <v>0</v>
      </c>
      <c r="H254" s="286"/>
      <c r="I254" s="286"/>
    </row>
    <row r="255" spans="1:9" s="111" customFormat="1" ht="12.75" hidden="1">
      <c r="A255" s="115" t="s">
        <v>539</v>
      </c>
      <c r="B255" s="187" t="s">
        <v>178</v>
      </c>
      <c r="C255" s="159" t="s">
        <v>132</v>
      </c>
      <c r="D255" s="159" t="s">
        <v>132</v>
      </c>
      <c r="E255" s="159" t="s">
        <v>132</v>
      </c>
      <c r="F255" s="188" t="s">
        <v>132</v>
      </c>
      <c r="G255" s="173" t="s">
        <v>132</v>
      </c>
      <c r="H255" s="180"/>
      <c r="I255" s="180"/>
    </row>
    <row r="256" spans="1:9" s="111" customFormat="1" ht="12.75" hidden="1">
      <c r="A256" s="115"/>
      <c r="B256" s="212" t="s">
        <v>334</v>
      </c>
      <c r="C256" s="114"/>
      <c r="D256" s="114"/>
      <c r="E256" s="114">
        <v>14.29</v>
      </c>
      <c r="F256" s="231">
        <f>D256*E256</f>
        <v>0</v>
      </c>
      <c r="G256" s="208"/>
      <c r="H256" s="209"/>
      <c r="I256" s="209"/>
    </row>
    <row r="257" spans="1:9" s="111" customFormat="1" ht="12.75" hidden="1">
      <c r="A257" s="115"/>
      <c r="B257" s="212" t="s">
        <v>335</v>
      </c>
      <c r="C257" s="114"/>
      <c r="D257" s="114"/>
      <c r="E257" s="114">
        <v>14.29</v>
      </c>
      <c r="F257" s="231">
        <f>D257*E257</f>
        <v>0</v>
      </c>
      <c r="G257" s="208"/>
      <c r="H257" s="209"/>
      <c r="I257" s="209"/>
    </row>
    <row r="258" spans="1:9" s="111" customFormat="1" ht="12.75" hidden="1">
      <c r="A258" s="115"/>
      <c r="B258" s="212" t="s">
        <v>336</v>
      </c>
      <c r="C258" s="114"/>
      <c r="D258" s="114"/>
      <c r="E258" s="114">
        <v>14.29</v>
      </c>
      <c r="F258" s="231">
        <f>D258*E258</f>
        <v>0</v>
      </c>
      <c r="G258" s="208"/>
      <c r="H258" s="209"/>
      <c r="I258" s="209"/>
    </row>
    <row r="259" spans="1:9" s="111" customFormat="1" ht="13.5" hidden="1">
      <c r="A259" s="115"/>
      <c r="B259" s="213" t="s">
        <v>337</v>
      </c>
      <c r="C259" s="214">
        <f>SUM(C256:C258)</f>
        <v>0</v>
      </c>
      <c r="D259" s="214">
        <f>SUM(D256:D258)</f>
        <v>0</v>
      </c>
      <c r="E259" s="159" t="s">
        <v>132</v>
      </c>
      <c r="F259" s="354">
        <f>SUM(F256:F258)</f>
        <v>0</v>
      </c>
      <c r="G259" s="215">
        <f>SUM(G256:G258)</f>
        <v>0</v>
      </c>
      <c r="H259" s="285"/>
      <c r="I259" s="285"/>
    </row>
    <row r="260" spans="1:9" s="111" customFormat="1" ht="12.75" hidden="1">
      <c r="A260" s="115"/>
      <c r="B260" s="212" t="s">
        <v>338</v>
      </c>
      <c r="C260" s="114"/>
      <c r="D260" s="114"/>
      <c r="E260" s="114">
        <v>14.29</v>
      </c>
      <c r="F260" s="231">
        <f>D260*E260</f>
        <v>0</v>
      </c>
      <c r="G260" s="208"/>
      <c r="H260" s="209"/>
      <c r="I260" s="209"/>
    </row>
    <row r="261" spans="1:9" s="111" customFormat="1" ht="12.75" hidden="1">
      <c r="A261" s="115"/>
      <c r="B261" s="212" t="s">
        <v>339</v>
      </c>
      <c r="C261" s="114"/>
      <c r="D261" s="114"/>
      <c r="E261" s="114">
        <v>14.29</v>
      </c>
      <c r="F261" s="231">
        <f>D261*E261</f>
        <v>0</v>
      </c>
      <c r="G261" s="208"/>
      <c r="H261" s="209"/>
      <c r="I261" s="209"/>
    </row>
    <row r="262" spans="1:9" s="111" customFormat="1" ht="12.75" hidden="1">
      <c r="A262" s="115"/>
      <c r="B262" s="212" t="s">
        <v>340</v>
      </c>
      <c r="C262" s="114"/>
      <c r="D262" s="114"/>
      <c r="E262" s="114">
        <v>14.29</v>
      </c>
      <c r="F262" s="231">
        <f>D262*E262</f>
        <v>0</v>
      </c>
      <c r="G262" s="208"/>
      <c r="H262" s="209"/>
      <c r="I262" s="209"/>
    </row>
    <row r="263" spans="1:9" s="111" customFormat="1" ht="13.5" hidden="1">
      <c r="A263" s="115"/>
      <c r="B263" s="213" t="s">
        <v>341</v>
      </c>
      <c r="C263" s="214">
        <f>SUM(C260:C262)</f>
        <v>0</v>
      </c>
      <c r="D263" s="214">
        <f>SUM(D260:D262)</f>
        <v>0</v>
      </c>
      <c r="E263" s="159" t="s">
        <v>132</v>
      </c>
      <c r="F263" s="355">
        <f>SUM(F260:F262)</f>
        <v>0</v>
      </c>
      <c r="G263" s="216">
        <f>SUM(G260:G262)</f>
        <v>0</v>
      </c>
      <c r="H263" s="286"/>
      <c r="I263" s="286"/>
    </row>
    <row r="264" spans="1:9" s="111" customFormat="1" ht="12.75" hidden="1">
      <c r="A264" s="115"/>
      <c r="B264" s="212" t="s">
        <v>342</v>
      </c>
      <c r="C264" s="114"/>
      <c r="D264" s="114"/>
      <c r="E264" s="114">
        <v>15.15</v>
      </c>
      <c r="F264" s="231">
        <f>D264*E264</f>
        <v>0</v>
      </c>
      <c r="G264" s="208"/>
      <c r="H264" s="209"/>
      <c r="I264" s="209"/>
    </row>
    <row r="265" spans="1:9" s="111" customFormat="1" ht="12.75" hidden="1">
      <c r="A265" s="115"/>
      <c r="B265" s="212" t="s">
        <v>343</v>
      </c>
      <c r="C265" s="114"/>
      <c r="D265" s="114"/>
      <c r="E265" s="114">
        <v>15.15</v>
      </c>
      <c r="F265" s="231">
        <f>D265*E265</f>
        <v>0</v>
      </c>
      <c r="G265" s="208"/>
      <c r="H265" s="209"/>
      <c r="I265" s="209"/>
    </row>
    <row r="266" spans="1:9" s="111" customFormat="1" ht="12.75" hidden="1">
      <c r="A266" s="115"/>
      <c r="B266" s="212" t="s">
        <v>344</v>
      </c>
      <c r="C266" s="114"/>
      <c r="D266" s="114"/>
      <c r="E266" s="114">
        <v>15.15</v>
      </c>
      <c r="F266" s="231">
        <f>D266*E266</f>
        <v>0</v>
      </c>
      <c r="G266" s="208"/>
      <c r="H266" s="209"/>
      <c r="I266" s="209"/>
    </row>
    <row r="267" spans="1:9" s="111" customFormat="1" ht="13.5" hidden="1">
      <c r="A267" s="115"/>
      <c r="B267" s="213" t="s">
        <v>341</v>
      </c>
      <c r="C267" s="214">
        <f>SUM(C264:C266)</f>
        <v>0</v>
      </c>
      <c r="D267" s="214">
        <f>SUM(D264:D266)</f>
        <v>0</v>
      </c>
      <c r="E267" s="159" t="s">
        <v>132</v>
      </c>
      <c r="F267" s="354">
        <f>SUM(F264:F266)</f>
        <v>0</v>
      </c>
      <c r="G267" s="215">
        <f>SUM(G264:G266)</f>
        <v>0</v>
      </c>
      <c r="H267" s="285"/>
      <c r="I267" s="285"/>
    </row>
    <row r="268" spans="1:9" s="111" customFormat="1" ht="12.75" hidden="1">
      <c r="A268" s="184"/>
      <c r="B268" s="212" t="s">
        <v>345</v>
      </c>
      <c r="C268" s="113"/>
      <c r="D268" s="114"/>
      <c r="E268" s="114">
        <v>15.15</v>
      </c>
      <c r="F268" s="231">
        <f>D268*E268</f>
        <v>0</v>
      </c>
      <c r="G268" s="208"/>
      <c r="H268" s="209"/>
      <c r="I268" s="209"/>
    </row>
    <row r="269" spans="1:9" s="111" customFormat="1" ht="12.75" hidden="1">
      <c r="A269" s="184"/>
      <c r="B269" s="212" t="s">
        <v>346</v>
      </c>
      <c r="C269" s="113"/>
      <c r="D269" s="114"/>
      <c r="E269" s="114">
        <v>15.15</v>
      </c>
      <c r="F269" s="231">
        <f>D269*E269</f>
        <v>0</v>
      </c>
      <c r="G269" s="208"/>
      <c r="H269" s="209"/>
      <c r="I269" s="209"/>
    </row>
    <row r="270" spans="1:9" s="111" customFormat="1" ht="12.75" hidden="1">
      <c r="A270" s="184"/>
      <c r="B270" s="212" t="s">
        <v>347</v>
      </c>
      <c r="C270" s="113"/>
      <c r="D270" s="114"/>
      <c r="E270" s="114">
        <v>15.15</v>
      </c>
      <c r="F270" s="231">
        <f>D270*E270</f>
        <v>0</v>
      </c>
      <c r="G270" s="208"/>
      <c r="H270" s="209"/>
      <c r="I270" s="209"/>
    </row>
    <row r="271" spans="1:9" s="111" customFormat="1" ht="13.5" hidden="1">
      <c r="A271" s="115"/>
      <c r="B271" s="213" t="s">
        <v>536</v>
      </c>
      <c r="C271" s="214">
        <f>SUM(C268:C270)</f>
        <v>0</v>
      </c>
      <c r="D271" s="214">
        <f>SUM(D268:D270)</f>
        <v>0</v>
      </c>
      <c r="E271" s="159" t="s">
        <v>132</v>
      </c>
      <c r="F271" s="355">
        <f>SUM(F268:F270)</f>
        <v>0</v>
      </c>
      <c r="G271" s="216">
        <f>SUM(G268:G270)</f>
        <v>0</v>
      </c>
      <c r="H271" s="286"/>
      <c r="I271" s="286"/>
    </row>
    <row r="272" spans="1:9" s="111" customFormat="1" ht="13.5" hidden="1">
      <c r="A272" s="115"/>
      <c r="B272" s="217" t="s">
        <v>349</v>
      </c>
      <c r="C272" s="214">
        <f>C259+C263+C267+C271</f>
        <v>0</v>
      </c>
      <c r="D272" s="214">
        <f>D259+D263+D267+D271</f>
        <v>0</v>
      </c>
      <c r="E272" s="159" t="s">
        <v>132</v>
      </c>
      <c r="F272" s="355">
        <f>F259+F263+F267+F271</f>
        <v>0</v>
      </c>
      <c r="G272" s="216">
        <f>G259+G263+G267+G271</f>
        <v>0</v>
      </c>
      <c r="H272" s="286"/>
      <c r="I272" s="286"/>
    </row>
    <row r="273" spans="1:9" s="111" customFormat="1" ht="12.75" hidden="1">
      <c r="A273" s="115">
        <v>1</v>
      </c>
      <c r="B273" s="130" t="s">
        <v>194</v>
      </c>
      <c r="C273" s="218">
        <f>C218</f>
        <v>0</v>
      </c>
      <c r="D273" s="218">
        <f>D218</f>
        <v>0</v>
      </c>
      <c r="E273" s="218" t="str">
        <f>E218</f>
        <v>x</v>
      </c>
      <c r="F273" s="356">
        <f>F218</f>
        <v>0</v>
      </c>
      <c r="G273" s="219">
        <f>G218</f>
        <v>0</v>
      </c>
      <c r="H273" s="291"/>
      <c r="I273" s="291"/>
    </row>
    <row r="274" spans="1:9" s="111" customFormat="1" ht="12.75" hidden="1">
      <c r="A274" s="115">
        <v>2</v>
      </c>
      <c r="B274" s="129" t="s">
        <v>176</v>
      </c>
      <c r="C274" s="218">
        <f>C236</f>
        <v>0</v>
      </c>
      <c r="D274" s="218">
        <f>D236</f>
        <v>0</v>
      </c>
      <c r="E274" s="218" t="str">
        <f>E236</f>
        <v>x</v>
      </c>
      <c r="F274" s="356">
        <f>F236</f>
        <v>0</v>
      </c>
      <c r="G274" s="219">
        <f>G236</f>
        <v>0</v>
      </c>
      <c r="H274" s="291"/>
      <c r="I274" s="291"/>
    </row>
    <row r="275" spans="1:9" s="111" customFormat="1" ht="12.75" hidden="1">
      <c r="A275" s="115">
        <v>3</v>
      </c>
      <c r="B275" s="129" t="s">
        <v>177</v>
      </c>
      <c r="C275" s="218">
        <f>C254</f>
        <v>0</v>
      </c>
      <c r="D275" s="218">
        <f>D254</f>
        <v>0</v>
      </c>
      <c r="E275" s="218" t="str">
        <f>E254</f>
        <v>x</v>
      </c>
      <c r="F275" s="356">
        <f>F254</f>
        <v>0</v>
      </c>
      <c r="G275" s="219">
        <f>G254</f>
        <v>0</v>
      </c>
      <c r="H275" s="291"/>
      <c r="I275" s="291"/>
    </row>
    <row r="276" spans="1:9" s="111" customFormat="1" ht="12.75" hidden="1">
      <c r="A276" s="115">
        <v>4</v>
      </c>
      <c r="B276" s="129" t="s">
        <v>178</v>
      </c>
      <c r="C276" s="218">
        <f>C272</f>
        <v>0</v>
      </c>
      <c r="D276" s="218">
        <f>D272</f>
        <v>0</v>
      </c>
      <c r="E276" s="218" t="str">
        <f>E272</f>
        <v>x</v>
      </c>
      <c r="F276" s="356">
        <f>F272</f>
        <v>0</v>
      </c>
      <c r="G276" s="219">
        <f>G272</f>
        <v>0</v>
      </c>
      <c r="H276" s="291"/>
      <c r="I276" s="291"/>
    </row>
    <row r="277" spans="1:9" s="111" customFormat="1" ht="12.75" hidden="1">
      <c r="A277" s="115"/>
      <c r="B277" s="168" t="s">
        <v>350</v>
      </c>
      <c r="C277" s="114" t="s">
        <v>132</v>
      </c>
      <c r="D277" s="114" t="s">
        <v>132</v>
      </c>
      <c r="E277" s="114" t="s">
        <v>132</v>
      </c>
      <c r="F277" s="220">
        <f>F273+F274+F275+F276</f>
        <v>0</v>
      </c>
      <c r="G277" s="357">
        <f>G273+G274+G275+G276</f>
        <v>0</v>
      </c>
      <c r="H277" s="292"/>
      <c r="I277" s="292"/>
    </row>
    <row r="278" s="111" customFormat="1" ht="12.75" customHeight="1" hidden="1">
      <c r="A278" s="108"/>
    </row>
    <row r="279" spans="1:2" s="111" customFormat="1" ht="12.75" hidden="1">
      <c r="A279" s="600" t="s">
        <v>387</v>
      </c>
      <c r="B279" s="600"/>
    </row>
    <row r="280" spans="1:9" s="121" customFormat="1" ht="17.25" customHeight="1" hidden="1">
      <c r="A280" s="596" t="s">
        <v>386</v>
      </c>
      <c r="B280" s="596"/>
      <c r="C280" s="596"/>
      <c r="D280" s="596"/>
      <c r="E280" s="596"/>
      <c r="F280" s="596"/>
      <c r="G280" s="596"/>
      <c r="H280" s="596"/>
      <c r="I280" s="596"/>
    </row>
    <row r="281" spans="1:5" s="123" customFormat="1" ht="25.5" hidden="1">
      <c r="A281" s="122" t="s">
        <v>125</v>
      </c>
      <c r="B281" s="122" t="s">
        <v>1</v>
      </c>
      <c r="C281" s="122" t="s">
        <v>123</v>
      </c>
      <c r="D281" s="122" t="s">
        <v>155</v>
      </c>
      <c r="E281" s="124" t="s">
        <v>154</v>
      </c>
    </row>
    <row r="282" spans="1:5" s="123" customFormat="1" ht="12.75" hidden="1">
      <c r="A282" s="122">
        <v>1</v>
      </c>
      <c r="B282" s="122">
        <v>2</v>
      </c>
      <c r="C282" s="122">
        <v>3</v>
      </c>
      <c r="D282" s="122">
        <v>4</v>
      </c>
      <c r="E282" s="122">
        <v>5</v>
      </c>
    </row>
    <row r="283" spans="1:5" s="111" customFormat="1" ht="12.75" hidden="1">
      <c r="A283" s="115" t="s">
        <v>540</v>
      </c>
      <c r="B283" s="129"/>
      <c r="C283" s="114"/>
      <c r="D283" s="114"/>
      <c r="E283" s="114"/>
    </row>
    <row r="284" spans="1:5" s="111" customFormat="1" ht="12.75" hidden="1">
      <c r="A284" s="115" t="s">
        <v>541</v>
      </c>
      <c r="B284" s="129"/>
      <c r="C284" s="114"/>
      <c r="D284" s="114"/>
      <c r="E284" s="114"/>
    </row>
    <row r="285" spans="1:5" s="111" customFormat="1" ht="14.25" customHeight="1" hidden="1">
      <c r="A285" s="673" t="s">
        <v>497</v>
      </c>
      <c r="B285" s="674"/>
      <c r="C285" s="205">
        <f>SUM(C283:C284)</f>
        <v>0</v>
      </c>
      <c r="D285" s="114" t="s">
        <v>132</v>
      </c>
      <c r="E285" s="205">
        <f>SUM(E283:E284)</f>
        <v>0</v>
      </c>
    </row>
    <row r="286" spans="1:5" s="111" customFormat="1" ht="12.75" hidden="1">
      <c r="A286" s="115" t="s">
        <v>540</v>
      </c>
      <c r="B286" s="129"/>
      <c r="C286" s="114"/>
      <c r="D286" s="114"/>
      <c r="E286" s="205"/>
    </row>
    <row r="287" spans="1:5" s="111" customFormat="1" ht="12.75" hidden="1">
      <c r="A287" s="115" t="s">
        <v>541</v>
      </c>
      <c r="B287" s="129"/>
      <c r="C287" s="114"/>
      <c r="D287" s="114"/>
      <c r="E287" s="205"/>
    </row>
    <row r="288" spans="1:5" s="111" customFormat="1" ht="14.25" customHeight="1" hidden="1">
      <c r="A288" s="657" t="s">
        <v>367</v>
      </c>
      <c r="B288" s="648"/>
      <c r="C288" s="205">
        <f>SUM(C286:C287)</f>
        <v>0</v>
      </c>
      <c r="D288" s="114" t="s">
        <v>132</v>
      </c>
      <c r="E288" s="205">
        <f>SUM(E286:E287)</f>
        <v>0</v>
      </c>
    </row>
    <row r="289" spans="1:5" s="111" customFormat="1" ht="12.75" hidden="1">
      <c r="A289" s="615" t="s">
        <v>327</v>
      </c>
      <c r="B289" s="615"/>
      <c r="C289" s="113" t="s">
        <v>132</v>
      </c>
      <c r="D289" s="114" t="s">
        <v>132</v>
      </c>
      <c r="E289" s="223">
        <f>E285+E288</f>
        <v>0</v>
      </c>
    </row>
    <row r="290" s="111" customFormat="1" ht="12.75" hidden="1">
      <c r="A290" s="108"/>
    </row>
    <row r="291" spans="1:2" s="111" customFormat="1" ht="12.75" hidden="1">
      <c r="A291" s="600" t="s">
        <v>378</v>
      </c>
      <c r="B291" s="600"/>
    </row>
    <row r="292" spans="1:9" s="121" customFormat="1" ht="15.75" customHeight="1" hidden="1">
      <c r="A292" s="596" t="s">
        <v>388</v>
      </c>
      <c r="B292" s="596"/>
      <c r="C292" s="596"/>
      <c r="D292" s="596"/>
      <c r="E292" s="596"/>
      <c r="F292" s="596"/>
      <c r="G292" s="596"/>
      <c r="H292" s="596"/>
      <c r="I292" s="596"/>
    </row>
    <row r="293" spans="1:5" s="123" customFormat="1" ht="25.5" hidden="1">
      <c r="A293" s="122" t="s">
        <v>125</v>
      </c>
      <c r="B293" s="122" t="s">
        <v>122</v>
      </c>
      <c r="C293" s="122" t="s">
        <v>196</v>
      </c>
      <c r="D293" s="122" t="s">
        <v>156</v>
      </c>
      <c r="E293" s="124" t="s">
        <v>154</v>
      </c>
    </row>
    <row r="294" spans="1:5" s="123" customFormat="1" ht="12.75" hidden="1">
      <c r="A294" s="122">
        <v>1</v>
      </c>
      <c r="B294" s="122">
        <v>2</v>
      </c>
      <c r="C294" s="122">
        <v>3</v>
      </c>
      <c r="D294" s="122">
        <v>4</v>
      </c>
      <c r="E294" s="122">
        <v>5</v>
      </c>
    </row>
    <row r="295" spans="1:5" s="111" customFormat="1" ht="12.75" hidden="1">
      <c r="A295" s="115" t="s">
        <v>542</v>
      </c>
      <c r="B295" s="129"/>
      <c r="C295" s="114"/>
      <c r="D295" s="114"/>
      <c r="E295" s="114"/>
    </row>
    <row r="296" spans="1:5" s="111" customFormat="1" ht="12.75" hidden="1">
      <c r="A296" s="115" t="s">
        <v>543</v>
      </c>
      <c r="B296" s="129"/>
      <c r="C296" s="114"/>
      <c r="D296" s="114"/>
      <c r="E296" s="114"/>
    </row>
    <row r="297" spans="1:5" s="111" customFormat="1" ht="12.75" hidden="1">
      <c r="A297" s="115" t="s">
        <v>544</v>
      </c>
      <c r="B297" s="129"/>
      <c r="C297" s="114"/>
      <c r="D297" s="114"/>
      <c r="E297" s="114"/>
    </row>
    <row r="298" spans="1:5" s="111" customFormat="1" ht="14.25" customHeight="1" hidden="1">
      <c r="A298" s="673" t="s">
        <v>497</v>
      </c>
      <c r="B298" s="674"/>
      <c r="C298" s="205">
        <f>SUM(C295:C297)</f>
        <v>0</v>
      </c>
      <c r="D298" s="114" t="s">
        <v>132</v>
      </c>
      <c r="E298" s="205">
        <f>SUM(E295:E297)</f>
        <v>0</v>
      </c>
    </row>
    <row r="299" spans="1:5" s="111" customFormat="1" ht="12.75" hidden="1">
      <c r="A299" s="115" t="s">
        <v>542</v>
      </c>
      <c r="B299" s="129"/>
      <c r="C299" s="114"/>
      <c r="D299" s="114"/>
      <c r="E299" s="205"/>
    </row>
    <row r="300" spans="1:5" s="111" customFormat="1" ht="12.75" hidden="1">
      <c r="A300" s="115" t="s">
        <v>543</v>
      </c>
      <c r="B300" s="137"/>
      <c r="C300" s="114"/>
      <c r="D300" s="114"/>
      <c r="E300" s="205"/>
    </row>
    <row r="301" spans="1:5" s="111" customFormat="1" ht="12.75" hidden="1">
      <c r="A301" s="115" t="s">
        <v>544</v>
      </c>
      <c r="B301" s="129"/>
      <c r="C301" s="114"/>
      <c r="D301" s="114"/>
      <c r="E301" s="114"/>
    </row>
    <row r="302" spans="1:5" s="111" customFormat="1" ht="15" customHeight="1" hidden="1">
      <c r="A302" s="657" t="s">
        <v>367</v>
      </c>
      <c r="B302" s="648"/>
      <c r="C302" s="205">
        <f>SUM(C299:C300)</f>
        <v>0</v>
      </c>
      <c r="D302" s="114" t="s">
        <v>132</v>
      </c>
      <c r="E302" s="205">
        <f>SUM(E299:E300)</f>
        <v>0</v>
      </c>
    </row>
    <row r="303" spans="1:5" s="111" customFormat="1" ht="12.75" hidden="1">
      <c r="A303" s="621" t="s">
        <v>327</v>
      </c>
      <c r="B303" s="622"/>
      <c r="C303" s="114" t="s">
        <v>132</v>
      </c>
      <c r="D303" s="114" t="s">
        <v>132</v>
      </c>
      <c r="E303" s="223">
        <f>E298+E302</f>
        <v>0</v>
      </c>
    </row>
    <row r="304" s="111" customFormat="1" ht="9.75" customHeight="1" hidden="1">
      <c r="A304" s="108"/>
    </row>
    <row r="305" spans="1:2" s="111" customFormat="1" ht="12.75" hidden="1">
      <c r="A305" s="600" t="s">
        <v>392</v>
      </c>
      <c r="B305" s="600"/>
    </row>
    <row r="306" spans="1:9" s="121" customFormat="1" ht="15" customHeight="1" hidden="1">
      <c r="A306" s="596" t="s">
        <v>400</v>
      </c>
      <c r="B306" s="596"/>
      <c r="C306" s="596"/>
      <c r="D306" s="596"/>
      <c r="E306" s="596"/>
      <c r="F306" s="596"/>
      <c r="G306" s="596"/>
      <c r="H306" s="596"/>
      <c r="I306" s="596"/>
    </row>
    <row r="307" spans="1:5" s="123" customFormat="1" ht="25.5" hidden="1">
      <c r="A307" s="122" t="s">
        <v>125</v>
      </c>
      <c r="B307" s="122" t="s">
        <v>122</v>
      </c>
      <c r="C307" s="122" t="s">
        <v>123</v>
      </c>
      <c r="D307" s="147" t="s">
        <v>157</v>
      </c>
      <c r="E307" s="124" t="s">
        <v>154</v>
      </c>
    </row>
    <row r="308" spans="1:5" s="123" customFormat="1" ht="12.75" hidden="1">
      <c r="A308" s="122">
        <v>1</v>
      </c>
      <c r="B308" s="122">
        <v>2</v>
      </c>
      <c r="C308" s="122">
        <v>3</v>
      </c>
      <c r="D308" s="147">
        <v>4</v>
      </c>
      <c r="E308" s="148">
        <v>5</v>
      </c>
    </row>
    <row r="309" spans="1:5" s="111" customFormat="1" ht="12.75" hidden="1">
      <c r="A309" s="115" t="s">
        <v>545</v>
      </c>
      <c r="B309" s="129"/>
      <c r="C309" s="114"/>
      <c r="D309" s="114"/>
      <c r="E309" s="205"/>
    </row>
    <row r="310" spans="1:5" s="111" customFormat="1" ht="12.75" hidden="1">
      <c r="A310" s="115" t="s">
        <v>546</v>
      </c>
      <c r="B310" s="137"/>
      <c r="C310" s="114"/>
      <c r="D310" s="114"/>
      <c r="E310" s="205"/>
    </row>
    <row r="311" spans="1:5" s="111" customFormat="1" ht="14.25" customHeight="1" hidden="1">
      <c r="A311" s="673" t="s">
        <v>497</v>
      </c>
      <c r="B311" s="674"/>
      <c r="C311" s="205">
        <f>SUM(C309:C310)</f>
        <v>0</v>
      </c>
      <c r="D311" s="114" t="s">
        <v>132</v>
      </c>
      <c r="E311" s="205">
        <f>SUM(E309:E310)</f>
        <v>0</v>
      </c>
    </row>
    <row r="312" spans="1:5" s="111" customFormat="1" ht="12.75" hidden="1">
      <c r="A312" s="115" t="s">
        <v>545</v>
      </c>
      <c r="B312" s="129"/>
      <c r="C312" s="114"/>
      <c r="D312" s="114"/>
      <c r="E312" s="205"/>
    </row>
    <row r="313" spans="1:5" s="111" customFormat="1" ht="12.75" hidden="1">
      <c r="A313" s="115" t="s">
        <v>546</v>
      </c>
      <c r="B313" s="137"/>
      <c r="C313" s="114"/>
      <c r="D313" s="114"/>
      <c r="E313" s="205"/>
    </row>
    <row r="314" spans="1:5" s="111" customFormat="1" ht="14.25" customHeight="1" hidden="1">
      <c r="A314" s="657" t="s">
        <v>367</v>
      </c>
      <c r="B314" s="648"/>
      <c r="C314" s="205">
        <f>SUM(C312:C313)</f>
        <v>0</v>
      </c>
      <c r="D314" s="114" t="s">
        <v>132</v>
      </c>
      <c r="E314" s="205">
        <f>SUM(E312:E313)</f>
        <v>0</v>
      </c>
    </row>
    <row r="315" spans="1:5" s="111" customFormat="1" ht="12.75" hidden="1">
      <c r="A315" s="621" t="s">
        <v>327</v>
      </c>
      <c r="B315" s="622"/>
      <c r="C315" s="114" t="s">
        <v>132</v>
      </c>
      <c r="D315" s="114" t="s">
        <v>132</v>
      </c>
      <c r="E315" s="223">
        <f>E311+E314</f>
        <v>0</v>
      </c>
    </row>
    <row r="316" s="111" customFormat="1" ht="12.75" hidden="1">
      <c r="A316" s="108"/>
    </row>
    <row r="317" spans="1:2" s="111" customFormat="1" ht="12.75" hidden="1">
      <c r="A317" s="600" t="s">
        <v>369</v>
      </c>
      <c r="B317" s="600"/>
    </row>
    <row r="318" spans="1:9" s="111" customFormat="1" ht="12.75" customHeight="1" hidden="1">
      <c r="A318" s="596" t="s">
        <v>547</v>
      </c>
      <c r="B318" s="596"/>
      <c r="C318" s="596"/>
      <c r="D318" s="596"/>
      <c r="E318" s="596"/>
      <c r="F318" s="596"/>
      <c r="G318" s="596"/>
      <c r="H318" s="596"/>
      <c r="I318" s="596"/>
    </row>
    <row r="319" spans="1:5" s="123" customFormat="1" ht="25.5" hidden="1">
      <c r="A319" s="122" t="s">
        <v>125</v>
      </c>
      <c r="B319" s="122" t="s">
        <v>122</v>
      </c>
      <c r="C319" s="122" t="s">
        <v>123</v>
      </c>
      <c r="D319" s="147" t="s">
        <v>402</v>
      </c>
      <c r="E319" s="124" t="s">
        <v>154</v>
      </c>
    </row>
    <row r="320" spans="1:5" s="123" customFormat="1" ht="12.75" hidden="1">
      <c r="A320" s="122">
        <v>1</v>
      </c>
      <c r="B320" s="122">
        <v>2</v>
      </c>
      <c r="C320" s="122">
        <v>3</v>
      </c>
      <c r="D320" s="147">
        <v>4</v>
      </c>
      <c r="E320" s="148">
        <v>5</v>
      </c>
    </row>
    <row r="321" spans="1:5" s="111" customFormat="1" ht="12.75" hidden="1">
      <c r="A321" s="115" t="s">
        <v>548</v>
      </c>
      <c r="B321" s="129"/>
      <c r="C321" s="114"/>
      <c r="D321" s="114"/>
      <c r="E321" s="205"/>
    </row>
    <row r="322" spans="1:5" s="111" customFormat="1" ht="12.75" hidden="1">
      <c r="A322" s="115" t="s">
        <v>549</v>
      </c>
      <c r="B322" s="137"/>
      <c r="C322" s="114"/>
      <c r="D322" s="114"/>
      <c r="E322" s="205"/>
    </row>
    <row r="323" spans="1:5" s="111" customFormat="1" ht="14.25" customHeight="1" hidden="1">
      <c r="A323" s="673" t="s">
        <v>497</v>
      </c>
      <c r="B323" s="674"/>
      <c r="C323" s="205">
        <f>SUM(C321:C322)</f>
        <v>0</v>
      </c>
      <c r="D323" s="114" t="s">
        <v>132</v>
      </c>
      <c r="E323" s="205">
        <f>SUM(E321:E322)</f>
        <v>0</v>
      </c>
    </row>
    <row r="324" spans="1:5" s="111" customFormat="1" ht="12.75" hidden="1">
      <c r="A324" s="115" t="s">
        <v>548</v>
      </c>
      <c r="B324" s="129"/>
      <c r="C324" s="114"/>
      <c r="D324" s="114"/>
      <c r="E324" s="205"/>
    </row>
    <row r="325" spans="1:5" s="111" customFormat="1" ht="12.75" hidden="1">
      <c r="A325" s="115" t="s">
        <v>549</v>
      </c>
      <c r="B325" s="137"/>
      <c r="C325" s="114"/>
      <c r="D325" s="114"/>
      <c r="E325" s="205"/>
    </row>
    <row r="326" spans="1:5" s="111" customFormat="1" ht="14.25" customHeight="1" hidden="1">
      <c r="A326" s="657" t="s">
        <v>367</v>
      </c>
      <c r="B326" s="648"/>
      <c r="C326" s="205">
        <f>SUM(C324:C325)</f>
        <v>0</v>
      </c>
      <c r="D326" s="114" t="s">
        <v>132</v>
      </c>
      <c r="E326" s="205">
        <f>SUM(E324:E325)</f>
        <v>0</v>
      </c>
    </row>
    <row r="327" spans="1:5" s="111" customFormat="1" ht="12.75" hidden="1">
      <c r="A327" s="621" t="s">
        <v>327</v>
      </c>
      <c r="B327" s="622"/>
      <c r="C327" s="114" t="s">
        <v>132</v>
      </c>
      <c r="D327" s="114" t="s">
        <v>132</v>
      </c>
      <c r="E327" s="223">
        <f>E323+E326</f>
        <v>0</v>
      </c>
    </row>
    <row r="328" spans="1:5" s="111" customFormat="1" ht="10.5" customHeight="1" hidden="1">
      <c r="A328" s="133"/>
      <c r="B328" s="179"/>
      <c r="C328" s="135"/>
      <c r="D328" s="135"/>
      <c r="E328" s="226"/>
    </row>
    <row r="329" spans="1:9" s="111" customFormat="1" ht="19.5" customHeight="1" hidden="1">
      <c r="A329" s="596" t="s">
        <v>550</v>
      </c>
      <c r="B329" s="596"/>
      <c r="C329" s="596"/>
      <c r="D329" s="596"/>
      <c r="E329" s="596"/>
      <c r="F329" s="596"/>
      <c r="G329" s="358"/>
      <c r="H329" s="358"/>
      <c r="I329" s="358"/>
    </row>
    <row r="330" spans="1:2" s="111" customFormat="1" ht="12.75" hidden="1">
      <c r="A330" s="600" t="s">
        <v>403</v>
      </c>
      <c r="B330" s="600"/>
    </row>
    <row r="331" spans="1:9" s="121" customFormat="1" ht="11.25" customHeight="1" hidden="1">
      <c r="A331" s="596" t="s">
        <v>551</v>
      </c>
      <c r="B331" s="597"/>
      <c r="C331" s="597"/>
      <c r="D331" s="597"/>
      <c r="E331" s="597"/>
      <c r="F331" s="597"/>
      <c r="G331" s="597"/>
      <c r="H331" s="597"/>
      <c r="I331" s="597"/>
    </row>
    <row r="332" spans="1:5" s="123" customFormat="1" ht="25.5" hidden="1">
      <c r="A332" s="122" t="s">
        <v>125</v>
      </c>
      <c r="B332" s="122" t="s">
        <v>122</v>
      </c>
      <c r="C332" s="122" t="s">
        <v>123</v>
      </c>
      <c r="D332" s="124" t="s">
        <v>197</v>
      </c>
      <c r="E332" s="124" t="s">
        <v>154</v>
      </c>
    </row>
    <row r="333" spans="1:5" s="123" customFormat="1" ht="12.75" hidden="1">
      <c r="A333" s="122">
        <v>1</v>
      </c>
      <c r="B333" s="122">
        <v>2</v>
      </c>
      <c r="C333" s="122">
        <v>3</v>
      </c>
      <c r="D333" s="122">
        <v>4</v>
      </c>
      <c r="E333" s="122">
        <v>5</v>
      </c>
    </row>
    <row r="334" spans="1:5" s="111" customFormat="1" ht="12.75" hidden="1">
      <c r="A334" s="115">
        <v>1</v>
      </c>
      <c r="B334" s="129"/>
      <c r="C334" s="114"/>
      <c r="D334" s="114"/>
      <c r="E334" s="205"/>
    </row>
    <row r="335" spans="1:5" s="111" customFormat="1" ht="12.75" hidden="1">
      <c r="A335" s="115">
        <v>2</v>
      </c>
      <c r="B335" s="137"/>
      <c r="C335" s="114"/>
      <c r="D335" s="114"/>
      <c r="E335" s="205"/>
    </row>
    <row r="336" spans="1:5" s="111" customFormat="1" ht="12.75" hidden="1">
      <c r="A336" s="127">
        <v>3</v>
      </c>
      <c r="B336" s="186"/>
      <c r="C336" s="113"/>
      <c r="D336" s="114"/>
      <c r="E336" s="205"/>
    </row>
    <row r="337" spans="1:5" s="111" customFormat="1" ht="14.25" customHeight="1" hidden="1">
      <c r="A337" s="673" t="s">
        <v>497</v>
      </c>
      <c r="B337" s="674"/>
      <c r="C337" s="205">
        <f>SUM(C334:C335)</f>
        <v>0</v>
      </c>
      <c r="D337" s="114" t="s">
        <v>132</v>
      </c>
      <c r="E337" s="205">
        <f>SUM(E334:E335)</f>
        <v>0</v>
      </c>
    </row>
    <row r="338" spans="1:5" s="111" customFormat="1" ht="12.75" hidden="1">
      <c r="A338" s="115">
        <v>1</v>
      </c>
      <c r="B338" s="129"/>
      <c r="C338" s="114"/>
      <c r="D338" s="114"/>
      <c r="E338" s="205"/>
    </row>
    <row r="339" spans="1:5" s="111" customFormat="1" ht="12.75" hidden="1">
      <c r="A339" s="115">
        <v>2</v>
      </c>
      <c r="B339" s="137"/>
      <c r="C339" s="114"/>
      <c r="D339" s="114"/>
      <c r="E339" s="205"/>
    </row>
    <row r="340" spans="1:5" s="111" customFormat="1" ht="12.75" hidden="1">
      <c r="A340" s="127">
        <v>3</v>
      </c>
      <c r="B340" s="186"/>
      <c r="C340" s="113"/>
      <c r="D340" s="114"/>
      <c r="E340" s="205"/>
    </row>
    <row r="341" spans="1:5" s="111" customFormat="1" ht="14.25" customHeight="1" hidden="1">
      <c r="A341" s="657" t="s">
        <v>367</v>
      </c>
      <c r="B341" s="648"/>
      <c r="C341" s="205">
        <f>SUM(C338:C339)</f>
        <v>0</v>
      </c>
      <c r="D341" s="114" t="s">
        <v>132</v>
      </c>
      <c r="E341" s="205">
        <f>SUM(E338:E339)</f>
        <v>0</v>
      </c>
    </row>
    <row r="342" spans="1:5" s="111" customFormat="1" ht="12.75" hidden="1">
      <c r="A342" s="621" t="s">
        <v>327</v>
      </c>
      <c r="B342" s="622"/>
      <c r="C342" s="114" t="s">
        <v>132</v>
      </c>
      <c r="D342" s="114" t="s">
        <v>132</v>
      </c>
      <c r="E342" s="223">
        <f>E337+E341</f>
        <v>0</v>
      </c>
    </row>
    <row r="343" spans="1:5" s="111" customFormat="1" ht="11.25" customHeight="1" hidden="1">
      <c r="A343" s="179"/>
      <c r="B343" s="179"/>
      <c r="C343" s="135"/>
      <c r="D343" s="135"/>
      <c r="E343" s="226"/>
    </row>
    <row r="344" spans="1:2" s="111" customFormat="1" ht="5.25" customHeight="1" hidden="1">
      <c r="A344" s="600" t="s">
        <v>403</v>
      </c>
      <c r="B344" s="600"/>
    </row>
    <row r="345" spans="1:9" s="111" customFormat="1" ht="12.75" hidden="1">
      <c r="A345" s="596" t="s">
        <v>405</v>
      </c>
      <c r="B345" s="597"/>
      <c r="C345" s="597"/>
      <c r="D345" s="597"/>
      <c r="E345" s="597"/>
      <c r="F345" s="597"/>
      <c r="G345" s="597"/>
      <c r="H345" s="597"/>
      <c r="I345" s="597"/>
    </row>
    <row r="346" spans="1:5" s="123" customFormat="1" ht="25.5" hidden="1">
      <c r="A346" s="122" t="s">
        <v>125</v>
      </c>
      <c r="B346" s="122" t="s">
        <v>122</v>
      </c>
      <c r="C346" s="122" t="s">
        <v>123</v>
      </c>
      <c r="D346" s="124" t="s">
        <v>197</v>
      </c>
      <c r="E346" s="124" t="s">
        <v>154</v>
      </c>
    </row>
    <row r="347" spans="1:5" s="123" customFormat="1" ht="12.75" hidden="1">
      <c r="A347" s="122">
        <v>1</v>
      </c>
      <c r="B347" s="122">
        <v>2</v>
      </c>
      <c r="C347" s="122">
        <v>3</v>
      </c>
      <c r="D347" s="122">
        <v>4</v>
      </c>
      <c r="E347" s="122">
        <v>5</v>
      </c>
    </row>
    <row r="348" spans="1:5" s="245" customFormat="1" ht="13.5" customHeight="1" hidden="1">
      <c r="A348" s="115">
        <v>1</v>
      </c>
      <c r="B348" s="391" t="s">
        <v>665</v>
      </c>
      <c r="C348" s="273">
        <v>4</v>
      </c>
      <c r="D348" s="273">
        <v>8000</v>
      </c>
      <c r="E348" s="273"/>
    </row>
    <row r="349" spans="1:5" s="111" customFormat="1" ht="12.75" hidden="1">
      <c r="A349" s="119">
        <v>2</v>
      </c>
      <c r="B349" s="137" t="s">
        <v>666</v>
      </c>
      <c r="C349" s="460">
        <v>2</v>
      </c>
      <c r="D349" s="460">
        <v>10000</v>
      </c>
      <c r="E349" s="460"/>
    </row>
    <row r="350" spans="1:5" s="111" customFormat="1" ht="12.75" hidden="1">
      <c r="A350" s="127">
        <v>3</v>
      </c>
      <c r="B350" s="186" t="s">
        <v>667</v>
      </c>
      <c r="C350" s="273">
        <v>4</v>
      </c>
      <c r="D350" s="273">
        <v>60000</v>
      </c>
      <c r="E350" s="460"/>
    </row>
    <row r="351" spans="1:5" s="111" customFormat="1" ht="12.75" hidden="1">
      <c r="A351" s="127">
        <v>4</v>
      </c>
      <c r="B351" s="186" t="s">
        <v>675</v>
      </c>
      <c r="C351" s="273">
        <v>2</v>
      </c>
      <c r="D351" s="273">
        <v>89615.4</v>
      </c>
      <c r="E351" s="460"/>
    </row>
    <row r="352" spans="1:5" s="111" customFormat="1" ht="12.75" hidden="1">
      <c r="A352" s="673" t="s">
        <v>497</v>
      </c>
      <c r="B352" s="674"/>
      <c r="C352" s="420">
        <f>SUM(C348:C349)</f>
        <v>6</v>
      </c>
      <c r="D352" s="461" t="s">
        <v>132</v>
      </c>
      <c r="E352" s="463"/>
    </row>
    <row r="353" spans="1:5" s="111" customFormat="1" ht="12.75" hidden="1">
      <c r="A353" s="115">
        <v>1</v>
      </c>
      <c r="B353" s="129"/>
      <c r="C353" s="114"/>
      <c r="D353" s="114"/>
      <c r="E353" s="462"/>
    </row>
    <row r="354" spans="1:5" s="111" customFormat="1" ht="12.75" hidden="1">
      <c r="A354" s="119">
        <v>2</v>
      </c>
      <c r="B354" s="137"/>
      <c r="C354" s="114"/>
      <c r="D354" s="114"/>
      <c r="E354" s="158"/>
    </row>
    <row r="355" spans="1:5" s="111" customFormat="1" ht="12.75" hidden="1">
      <c r="A355" s="127">
        <v>3</v>
      </c>
      <c r="B355" s="186"/>
      <c r="C355" s="113"/>
      <c r="D355" s="114"/>
      <c r="E355" s="158"/>
    </row>
    <row r="356" spans="1:5" s="111" customFormat="1" ht="12.75" hidden="1">
      <c r="A356" s="657" t="s">
        <v>367</v>
      </c>
      <c r="B356" s="648"/>
      <c r="C356" s="205">
        <f>SUM(C353:C354)</f>
        <v>0</v>
      </c>
      <c r="D356" s="114" t="s">
        <v>132</v>
      </c>
      <c r="E356" s="158">
        <f>SUM(E353:E354)</f>
        <v>0</v>
      </c>
    </row>
    <row r="357" spans="1:5" s="111" customFormat="1" ht="12.75" hidden="1">
      <c r="A357" s="621" t="s">
        <v>327</v>
      </c>
      <c r="B357" s="622"/>
      <c r="C357" s="114" t="s">
        <v>132</v>
      </c>
      <c r="D357" s="114" t="s">
        <v>132</v>
      </c>
      <c r="E357" s="177">
        <f>E352+E356</f>
        <v>0</v>
      </c>
    </row>
    <row r="358" spans="1:5" s="111" customFormat="1" ht="12.75">
      <c r="A358" s="179"/>
      <c r="B358" s="179"/>
      <c r="C358" s="135"/>
      <c r="D358" s="135"/>
      <c r="E358" s="226"/>
    </row>
    <row r="359" spans="1:2" s="111" customFormat="1" ht="12.75">
      <c r="A359" s="600" t="s">
        <v>394</v>
      </c>
      <c r="B359" s="600"/>
    </row>
    <row r="360" spans="1:9" s="121" customFormat="1" ht="12.75">
      <c r="A360" s="597" t="s">
        <v>614</v>
      </c>
      <c r="B360" s="597"/>
      <c r="C360" s="597"/>
      <c r="D360" s="597"/>
      <c r="E360" s="597"/>
      <c r="F360" s="597"/>
      <c r="G360" s="597"/>
      <c r="H360" s="597"/>
      <c r="I360" s="597"/>
    </row>
    <row r="361" spans="1:5" s="123" customFormat="1" ht="24.75" customHeight="1">
      <c r="A361" s="122" t="s">
        <v>125</v>
      </c>
      <c r="B361" s="122" t="s">
        <v>122</v>
      </c>
      <c r="C361" s="122" t="s">
        <v>123</v>
      </c>
      <c r="D361" s="124" t="s">
        <v>197</v>
      </c>
      <c r="E361" s="124" t="s">
        <v>154</v>
      </c>
    </row>
    <row r="362" spans="1:5" s="245" customFormat="1" ht="0.75" customHeight="1" hidden="1">
      <c r="A362" s="246"/>
      <c r="B362" s="257" t="s">
        <v>301</v>
      </c>
      <c r="C362" s="178">
        <v>10</v>
      </c>
      <c r="D362" s="178">
        <v>3500</v>
      </c>
      <c r="E362" s="178"/>
    </row>
    <row r="363" spans="1:5" s="245" customFormat="1" ht="12.75" hidden="1">
      <c r="A363" s="246"/>
      <c r="B363" s="257" t="s">
        <v>302</v>
      </c>
      <c r="C363" s="178">
        <v>10</v>
      </c>
      <c r="D363" s="178">
        <v>200</v>
      </c>
      <c r="E363" s="178"/>
    </row>
    <row r="364" spans="1:5" s="245" customFormat="1" ht="14.25" customHeight="1">
      <c r="A364" s="246">
        <v>1</v>
      </c>
      <c r="B364" s="303" t="s">
        <v>662</v>
      </c>
      <c r="C364" s="388">
        <v>4</v>
      </c>
      <c r="D364" s="388">
        <v>250</v>
      </c>
      <c r="E364" s="388">
        <f aca="true" t="shared" si="0" ref="E364:E370">C364*D364</f>
        <v>1000</v>
      </c>
    </row>
    <row r="365" spans="1:5" s="245" customFormat="1" ht="13.5" customHeight="1">
      <c r="A365" s="246">
        <v>2</v>
      </c>
      <c r="B365" s="391" t="s">
        <v>663</v>
      </c>
      <c r="C365" s="273">
        <v>4</v>
      </c>
      <c r="D365" s="273">
        <v>350</v>
      </c>
      <c r="E365" s="273">
        <f t="shared" si="0"/>
        <v>1400</v>
      </c>
    </row>
    <row r="366" spans="1:5" s="245" customFormat="1" ht="12.75" hidden="1">
      <c r="A366" s="246"/>
      <c r="B366" s="391" t="s">
        <v>664</v>
      </c>
      <c r="C366" s="273">
        <v>6</v>
      </c>
      <c r="D366" s="273">
        <v>2800</v>
      </c>
      <c r="E366" s="273"/>
    </row>
    <row r="367" spans="1:5" s="245" customFormat="1" ht="12.75" hidden="1">
      <c r="A367" s="246"/>
      <c r="B367" s="257" t="s">
        <v>307</v>
      </c>
      <c r="C367" s="178">
        <v>4</v>
      </c>
      <c r="D367" s="178">
        <v>2500</v>
      </c>
      <c r="E367" s="178"/>
    </row>
    <row r="368" spans="1:5" s="245" customFormat="1" ht="13.5" customHeight="1">
      <c r="A368" s="246">
        <v>3</v>
      </c>
      <c r="B368" s="257" t="s">
        <v>296</v>
      </c>
      <c r="C368" s="178">
        <v>900</v>
      </c>
      <c r="D368" s="178">
        <v>15</v>
      </c>
      <c r="E368" s="178">
        <f t="shared" si="0"/>
        <v>13500</v>
      </c>
    </row>
    <row r="369" spans="1:5" s="245" customFormat="1" ht="13.5" customHeight="1">
      <c r="A369" s="246">
        <v>4</v>
      </c>
      <c r="B369" s="303" t="s">
        <v>300</v>
      </c>
      <c r="C369" s="388">
        <v>60</v>
      </c>
      <c r="D369" s="388">
        <v>50</v>
      </c>
      <c r="E369" s="388">
        <f t="shared" si="0"/>
        <v>3000</v>
      </c>
    </row>
    <row r="370" spans="1:5" s="245" customFormat="1" ht="13.5" customHeight="1">
      <c r="A370" s="246">
        <v>5</v>
      </c>
      <c r="B370" s="391" t="s">
        <v>661</v>
      </c>
      <c r="C370" s="273">
        <v>200</v>
      </c>
      <c r="D370" s="273">
        <v>15</v>
      </c>
      <c r="E370" s="273">
        <f t="shared" si="0"/>
        <v>3000</v>
      </c>
    </row>
    <row r="371" spans="1:5" s="245" customFormat="1" ht="3" customHeight="1" hidden="1">
      <c r="A371" s="246"/>
      <c r="B371" s="257" t="s">
        <v>295</v>
      </c>
      <c r="C371" s="178">
        <v>10</v>
      </c>
      <c r="D371" s="178">
        <v>150</v>
      </c>
      <c r="E371" s="178"/>
    </row>
    <row r="372" spans="1:5" s="245" customFormat="1" ht="13.5" customHeight="1" hidden="1">
      <c r="A372" s="246"/>
      <c r="B372" s="257" t="s">
        <v>660</v>
      </c>
      <c r="C372" s="178">
        <v>50</v>
      </c>
      <c r="D372" s="178">
        <v>50</v>
      </c>
      <c r="E372" s="178"/>
    </row>
    <row r="373" spans="1:5" s="245" customFormat="1" ht="13.5" customHeight="1" hidden="1">
      <c r="A373" s="246"/>
      <c r="B373" s="257" t="s">
        <v>297</v>
      </c>
      <c r="C373" s="178">
        <v>2</v>
      </c>
      <c r="D373" s="178">
        <v>70</v>
      </c>
      <c r="E373" s="178"/>
    </row>
    <row r="374" spans="1:5" s="245" customFormat="1" ht="13.5" customHeight="1" hidden="1">
      <c r="A374" s="246"/>
      <c r="B374" s="257" t="s">
        <v>298</v>
      </c>
      <c r="C374" s="178">
        <v>200</v>
      </c>
      <c r="D374" s="178">
        <v>270</v>
      </c>
      <c r="E374" s="178"/>
    </row>
    <row r="375" spans="1:5" s="245" customFormat="1" ht="13.5" customHeight="1" hidden="1">
      <c r="A375" s="246"/>
      <c r="B375" s="257" t="s">
        <v>299</v>
      </c>
      <c r="C375" s="178">
        <v>1000</v>
      </c>
      <c r="D375" s="178">
        <v>2</v>
      </c>
      <c r="E375" s="178"/>
    </row>
    <row r="376" spans="1:5" s="245" customFormat="1" ht="13.5" customHeight="1" hidden="1">
      <c r="A376" s="246"/>
      <c r="B376" s="257" t="s">
        <v>676</v>
      </c>
      <c r="C376" s="178">
        <v>24</v>
      </c>
      <c r="D376" s="178">
        <v>25</v>
      </c>
      <c r="E376" s="178"/>
    </row>
    <row r="377" spans="1:5" s="245" customFormat="1" ht="13.5" customHeight="1" hidden="1">
      <c r="A377" s="246"/>
      <c r="B377" s="257" t="s">
        <v>677</v>
      </c>
      <c r="C377" s="178">
        <v>12</v>
      </c>
      <c r="D377" s="178">
        <v>25</v>
      </c>
      <c r="E377" s="178"/>
    </row>
    <row r="378" spans="1:5" s="245" customFormat="1" ht="13.5" customHeight="1" hidden="1">
      <c r="A378" s="246"/>
      <c r="B378" s="257" t="s">
        <v>678</v>
      </c>
      <c r="C378" s="178">
        <v>100</v>
      </c>
      <c r="D378" s="178">
        <v>20</v>
      </c>
      <c r="E378" s="178"/>
    </row>
    <row r="379" spans="1:5" s="245" customFormat="1" ht="13.5" customHeight="1" hidden="1">
      <c r="A379" s="246"/>
      <c r="B379" s="257" t="s">
        <v>679</v>
      </c>
      <c r="C379" s="178">
        <v>10</v>
      </c>
      <c r="D379" s="178">
        <v>150</v>
      </c>
      <c r="E379" s="178"/>
    </row>
    <row r="380" spans="1:5" s="245" customFormat="1" ht="13.5" customHeight="1" hidden="1">
      <c r="A380" s="246"/>
      <c r="B380" s="257" t="s">
        <v>680</v>
      </c>
      <c r="C380" s="178">
        <v>10</v>
      </c>
      <c r="D380" s="178">
        <v>30</v>
      </c>
      <c r="E380" s="178"/>
    </row>
    <row r="381" spans="1:5" s="245" customFormat="1" ht="13.5" customHeight="1" hidden="1">
      <c r="A381" s="246"/>
      <c r="B381" s="257" t="s">
        <v>681</v>
      </c>
      <c r="C381" s="178">
        <v>25</v>
      </c>
      <c r="D381" s="178">
        <v>20</v>
      </c>
      <c r="E381" s="178"/>
    </row>
    <row r="382" spans="1:5" s="245" customFormat="1" ht="13.5" customHeight="1" hidden="1">
      <c r="A382" s="246"/>
      <c r="B382" s="257" t="s">
        <v>682</v>
      </c>
      <c r="C382" s="178">
        <v>25</v>
      </c>
      <c r="D382" s="178">
        <v>30</v>
      </c>
      <c r="E382" s="178"/>
    </row>
    <row r="383" spans="1:5" s="245" customFormat="1" ht="13.5" customHeight="1" hidden="1">
      <c r="A383" s="246"/>
      <c r="B383" s="257" t="s">
        <v>683</v>
      </c>
      <c r="C383" s="178">
        <v>10</v>
      </c>
      <c r="D383" s="178">
        <v>60</v>
      </c>
      <c r="E383" s="178"/>
    </row>
    <row r="384" spans="1:5" s="245" customFormat="1" ht="13.5" customHeight="1" hidden="1">
      <c r="A384" s="246"/>
      <c r="B384" s="257" t="s">
        <v>684</v>
      </c>
      <c r="C384" s="178">
        <v>10</v>
      </c>
      <c r="D384" s="178">
        <v>100</v>
      </c>
      <c r="E384" s="178"/>
    </row>
    <row r="385" spans="1:5" s="245" customFormat="1" ht="13.5" customHeight="1" hidden="1">
      <c r="A385" s="246"/>
      <c r="B385" s="257" t="s">
        <v>685</v>
      </c>
      <c r="C385" s="178">
        <v>20</v>
      </c>
      <c r="D385" s="178">
        <v>100</v>
      </c>
      <c r="E385" s="178"/>
    </row>
    <row r="386" spans="1:5" s="245" customFormat="1" ht="12.75" hidden="1">
      <c r="A386" s="246"/>
      <c r="B386" s="257" t="s">
        <v>303</v>
      </c>
      <c r="C386" s="178">
        <v>10</v>
      </c>
      <c r="D386" s="178">
        <v>230</v>
      </c>
      <c r="E386" s="178"/>
    </row>
    <row r="387" spans="1:5" s="245" customFormat="1" ht="12.75" hidden="1">
      <c r="A387" s="246"/>
      <c r="B387" s="257" t="s">
        <v>304</v>
      </c>
      <c r="C387" s="178">
        <v>10</v>
      </c>
      <c r="D387" s="178">
        <v>150</v>
      </c>
      <c r="E387" s="178"/>
    </row>
    <row r="388" spans="1:5" s="245" customFormat="1" ht="12.75">
      <c r="A388" s="246">
        <v>6</v>
      </c>
      <c r="B388" s="257" t="s">
        <v>305</v>
      </c>
      <c r="C388" s="178">
        <v>50</v>
      </c>
      <c r="D388" s="178">
        <v>50</v>
      </c>
      <c r="E388" s="178">
        <f>C388*D388</f>
        <v>2500</v>
      </c>
    </row>
    <row r="389" spans="1:5" s="245" customFormat="1" ht="12.75" customHeight="1">
      <c r="A389" s="246">
        <v>7</v>
      </c>
      <c r="B389" s="303" t="s">
        <v>306</v>
      </c>
      <c r="C389" s="388">
        <v>50</v>
      </c>
      <c r="D389" s="388">
        <v>40</v>
      </c>
      <c r="E389" s="388">
        <f>C389*D389</f>
        <v>2000</v>
      </c>
    </row>
    <row r="390" spans="1:5" s="245" customFormat="1" ht="3" customHeight="1" hidden="1">
      <c r="A390" s="246"/>
      <c r="B390" s="391" t="s">
        <v>278</v>
      </c>
      <c r="C390" s="444">
        <v>528</v>
      </c>
      <c r="D390" s="178">
        <v>12</v>
      </c>
      <c r="E390" s="178"/>
    </row>
    <row r="391" spans="1:5" s="245" customFormat="1" ht="13.5" customHeight="1" hidden="1">
      <c r="A391" s="246"/>
      <c r="B391" s="470" t="s">
        <v>652</v>
      </c>
      <c r="C391" s="178">
        <v>36</v>
      </c>
      <c r="D391" s="178">
        <v>20</v>
      </c>
      <c r="E391" s="178"/>
    </row>
    <row r="392" spans="1:5" s="245" customFormat="1" ht="13.5" customHeight="1" hidden="1">
      <c r="A392" s="246"/>
      <c r="B392" s="257" t="s">
        <v>653</v>
      </c>
      <c r="C392" s="178">
        <v>48</v>
      </c>
      <c r="D392" s="178">
        <v>20</v>
      </c>
      <c r="E392" s="178"/>
    </row>
    <row r="393" spans="1:5" s="245" customFormat="1" ht="13.5" customHeight="1" hidden="1">
      <c r="A393" s="246"/>
      <c r="B393" s="257" t="s">
        <v>279</v>
      </c>
      <c r="C393" s="178">
        <v>44</v>
      </c>
      <c r="D393" s="178">
        <v>590</v>
      </c>
      <c r="E393" s="178"/>
    </row>
    <row r="394" spans="1:5" s="245" customFormat="1" ht="13.5" customHeight="1" hidden="1">
      <c r="A394" s="246"/>
      <c r="B394" s="257" t="s">
        <v>280</v>
      </c>
      <c r="C394" s="178">
        <v>9</v>
      </c>
      <c r="D394" s="178">
        <v>950</v>
      </c>
      <c r="E394" s="178"/>
    </row>
    <row r="395" spans="1:5" s="245" customFormat="1" ht="13.5" customHeight="1" hidden="1">
      <c r="A395" s="246"/>
      <c r="B395" s="257" t="s">
        <v>654</v>
      </c>
      <c r="C395" s="178">
        <v>24</v>
      </c>
      <c r="D395" s="178">
        <v>135</v>
      </c>
      <c r="E395" s="178"/>
    </row>
    <row r="396" spans="1:5" s="245" customFormat="1" ht="13.5" customHeight="1" hidden="1">
      <c r="A396" s="246"/>
      <c r="B396" s="257" t="s">
        <v>281</v>
      </c>
      <c r="C396" s="178">
        <v>24</v>
      </c>
      <c r="D396" s="178">
        <v>45</v>
      </c>
      <c r="E396" s="178"/>
    </row>
    <row r="397" spans="1:5" s="245" customFormat="1" ht="13.5" customHeight="1" hidden="1">
      <c r="A397" s="246"/>
      <c r="B397" s="257" t="s">
        <v>655</v>
      </c>
      <c r="C397" s="178">
        <v>72</v>
      </c>
      <c r="D397" s="178">
        <v>35</v>
      </c>
      <c r="E397" s="178"/>
    </row>
    <row r="398" spans="1:5" s="245" customFormat="1" ht="13.5" customHeight="1" hidden="1">
      <c r="A398" s="246"/>
      <c r="B398" s="257" t="s">
        <v>656</v>
      </c>
      <c r="C398" s="178">
        <v>40</v>
      </c>
      <c r="D398" s="178">
        <v>120</v>
      </c>
      <c r="E398" s="178"/>
    </row>
    <row r="399" spans="1:5" s="245" customFormat="1" ht="13.5" customHeight="1" hidden="1">
      <c r="A399" s="246"/>
      <c r="B399" s="257" t="s">
        <v>282</v>
      </c>
      <c r="C399" s="178">
        <v>312</v>
      </c>
      <c r="D399" s="178">
        <v>70</v>
      </c>
      <c r="E399" s="178"/>
    </row>
    <row r="400" spans="1:5" s="245" customFormat="1" ht="13.5" customHeight="1" hidden="1">
      <c r="A400" s="246"/>
      <c r="B400" s="257" t="s">
        <v>283</v>
      </c>
      <c r="C400" s="178">
        <v>60</v>
      </c>
      <c r="D400" s="178">
        <v>125</v>
      </c>
      <c r="E400" s="178"/>
    </row>
    <row r="401" spans="1:5" s="245" customFormat="1" ht="13.5" customHeight="1" hidden="1">
      <c r="A401" s="246"/>
      <c r="B401" s="257" t="s">
        <v>284</v>
      </c>
      <c r="C401" s="178">
        <v>264</v>
      </c>
      <c r="D401" s="178">
        <v>55</v>
      </c>
      <c r="E401" s="178"/>
    </row>
    <row r="402" spans="1:5" s="245" customFormat="1" ht="13.5" customHeight="1" hidden="1">
      <c r="A402" s="246"/>
      <c r="B402" s="257" t="s">
        <v>285</v>
      </c>
      <c r="C402" s="178">
        <v>576</v>
      </c>
      <c r="D402" s="178">
        <v>12</v>
      </c>
      <c r="E402" s="178"/>
    </row>
    <row r="403" spans="1:5" s="245" customFormat="1" ht="13.5" customHeight="1" hidden="1">
      <c r="A403" s="246"/>
      <c r="B403" s="257" t="s">
        <v>286</v>
      </c>
      <c r="C403" s="178">
        <v>168</v>
      </c>
      <c r="D403" s="178">
        <v>25</v>
      </c>
      <c r="E403" s="178"/>
    </row>
    <row r="404" spans="1:5" s="245" customFormat="1" ht="13.5" customHeight="1" hidden="1">
      <c r="A404" s="246"/>
      <c r="B404" s="257" t="s">
        <v>287</v>
      </c>
      <c r="C404" s="178">
        <v>144</v>
      </c>
      <c r="D404" s="178">
        <v>46</v>
      </c>
      <c r="E404" s="178"/>
    </row>
    <row r="405" spans="1:5" s="245" customFormat="1" ht="13.5" customHeight="1" hidden="1">
      <c r="A405" s="246"/>
      <c r="B405" s="257" t="s">
        <v>288</v>
      </c>
      <c r="C405" s="178">
        <v>16</v>
      </c>
      <c r="D405" s="178">
        <v>190</v>
      </c>
      <c r="E405" s="178"/>
    </row>
    <row r="406" spans="1:5" s="245" customFormat="1" ht="13.5" customHeight="1" hidden="1">
      <c r="A406" s="246"/>
      <c r="B406" s="257" t="s">
        <v>289</v>
      </c>
      <c r="C406" s="178">
        <v>312</v>
      </c>
      <c r="D406" s="178">
        <v>45</v>
      </c>
      <c r="E406" s="178"/>
    </row>
    <row r="407" spans="1:5" s="245" customFormat="1" ht="13.5" customHeight="1" hidden="1">
      <c r="A407" s="246"/>
      <c r="B407" s="257" t="s">
        <v>290</v>
      </c>
      <c r="C407" s="178">
        <v>96</v>
      </c>
      <c r="D407" s="178">
        <v>25</v>
      </c>
      <c r="E407" s="178"/>
    </row>
    <row r="408" spans="1:5" s="245" customFormat="1" ht="13.5" customHeight="1" hidden="1">
      <c r="A408" s="246"/>
      <c r="B408" s="257" t="s">
        <v>291</v>
      </c>
      <c r="C408" s="178">
        <v>66</v>
      </c>
      <c r="D408" s="178">
        <v>25</v>
      </c>
      <c r="E408" s="178"/>
    </row>
    <row r="409" spans="1:5" s="245" customFormat="1" ht="13.5" customHeight="1" hidden="1">
      <c r="A409" s="246"/>
      <c r="B409" s="257" t="s">
        <v>292</v>
      </c>
      <c r="C409" s="178">
        <v>136</v>
      </c>
      <c r="D409" s="178">
        <v>15</v>
      </c>
      <c r="E409" s="178"/>
    </row>
    <row r="410" spans="1:5" s="245" customFormat="1" ht="13.5" customHeight="1" hidden="1">
      <c r="A410" s="246"/>
      <c r="B410" s="303" t="s">
        <v>293</v>
      </c>
      <c r="C410" s="178">
        <v>26</v>
      </c>
      <c r="D410" s="178">
        <v>85</v>
      </c>
      <c r="E410" s="178"/>
    </row>
    <row r="411" spans="1:5" s="245" customFormat="1" ht="13.5" customHeight="1" hidden="1">
      <c r="A411" s="246"/>
      <c r="B411" s="250" t="s">
        <v>657</v>
      </c>
      <c r="C411" s="444">
        <v>10</v>
      </c>
      <c r="D411" s="178">
        <v>230</v>
      </c>
      <c r="E411" s="178"/>
    </row>
    <row r="412" spans="1:5" s="245" customFormat="1" ht="13.5" customHeight="1" hidden="1">
      <c r="A412" s="246"/>
      <c r="B412" s="250" t="s">
        <v>658</v>
      </c>
      <c r="C412" s="444">
        <v>16</v>
      </c>
      <c r="D412" s="178">
        <v>80</v>
      </c>
      <c r="E412" s="178"/>
    </row>
    <row r="413" spans="1:5" s="245" customFormat="1" ht="13.5" customHeight="1" hidden="1">
      <c r="A413" s="246"/>
      <c r="B413" s="250" t="s">
        <v>659</v>
      </c>
      <c r="C413" s="444">
        <v>16</v>
      </c>
      <c r="D413" s="178">
        <v>120</v>
      </c>
      <c r="E413" s="178"/>
    </row>
    <row r="414" spans="1:5" s="245" customFormat="1" ht="12.75" hidden="1">
      <c r="A414" s="246"/>
      <c r="B414" s="391" t="s">
        <v>686</v>
      </c>
      <c r="C414" s="273">
        <v>12</v>
      </c>
      <c r="D414" s="273">
        <v>3700</v>
      </c>
      <c r="E414" s="273"/>
    </row>
    <row r="415" spans="1:5" s="245" customFormat="1" ht="13.5" customHeight="1" hidden="1">
      <c r="A415" s="246"/>
      <c r="B415" s="391" t="s">
        <v>687</v>
      </c>
      <c r="C415" s="273">
        <v>16</v>
      </c>
      <c r="D415" s="273">
        <v>3000</v>
      </c>
      <c r="E415" s="273"/>
    </row>
    <row r="416" spans="1:5" s="245" customFormat="1" ht="13.5" customHeight="1" hidden="1">
      <c r="A416" s="246"/>
      <c r="B416" s="391" t="s">
        <v>688</v>
      </c>
      <c r="C416" s="273">
        <v>16</v>
      </c>
      <c r="D416" s="273">
        <v>3000</v>
      </c>
      <c r="E416" s="273"/>
    </row>
    <row r="417" spans="1:10" s="245" customFormat="1" ht="13.5" customHeight="1" hidden="1">
      <c r="A417" s="246"/>
      <c r="B417" s="391" t="s">
        <v>689</v>
      </c>
      <c r="C417" s="273">
        <v>120</v>
      </c>
      <c r="D417" s="273">
        <v>615</v>
      </c>
      <c r="E417" s="273"/>
      <c r="I417" s="245">
        <v>2018</v>
      </c>
      <c r="J417" s="245">
        <f>I424*1.04</f>
        <v>569390.432</v>
      </c>
    </row>
    <row r="418" spans="1:10" s="245" customFormat="1" ht="13.5" customHeight="1" hidden="1">
      <c r="A418" s="246"/>
      <c r="B418" s="391" t="s">
        <v>690</v>
      </c>
      <c r="C418" s="273">
        <v>120</v>
      </c>
      <c r="D418" s="273">
        <v>40</v>
      </c>
      <c r="E418" s="273"/>
      <c r="I418" s="245">
        <v>2019</v>
      </c>
      <c r="J418" s="245">
        <f>J417*1.04</f>
        <v>592166.04928</v>
      </c>
    </row>
    <row r="419" spans="1:10" s="245" customFormat="1" ht="13.5" customHeight="1">
      <c r="A419" s="115"/>
      <c r="B419" s="391"/>
      <c r="C419" s="273"/>
      <c r="D419" s="273"/>
      <c r="E419" s="273"/>
      <c r="I419" s="245">
        <v>2020</v>
      </c>
      <c r="J419" s="245">
        <f>J418*1.04</f>
        <v>615852.6912512</v>
      </c>
    </row>
    <row r="420" spans="1:5" s="111" customFormat="1" ht="14.25" customHeight="1">
      <c r="A420" s="647" t="s">
        <v>353</v>
      </c>
      <c r="B420" s="675"/>
      <c r="C420" s="205"/>
      <c r="D420" s="114" t="s">
        <v>132</v>
      </c>
      <c r="E420" s="153">
        <f>SUM(E362:E419)</f>
        <v>26400</v>
      </c>
    </row>
    <row r="421" spans="1:5" s="111" customFormat="1" ht="12.75">
      <c r="A421" s="115">
        <v>1</v>
      </c>
      <c r="B421" s="129"/>
      <c r="C421" s="153"/>
      <c r="D421" s="153"/>
      <c r="E421" s="153"/>
    </row>
    <row r="422" spans="1:5" s="111" customFormat="1" ht="12.75">
      <c r="A422" s="115">
        <v>2</v>
      </c>
      <c r="B422" s="129"/>
      <c r="C422" s="153"/>
      <c r="D422" s="153"/>
      <c r="E422" s="153"/>
    </row>
    <row r="423" spans="1:5" s="111" customFormat="1" ht="14.25" customHeight="1">
      <c r="A423" s="614" t="s">
        <v>352</v>
      </c>
      <c r="B423" s="613"/>
      <c r="C423" s="205"/>
      <c r="D423" s="114" t="s">
        <v>132</v>
      </c>
      <c r="E423" s="153">
        <v>0</v>
      </c>
    </row>
    <row r="424" spans="1:10" s="121" customFormat="1" ht="12.75">
      <c r="A424" s="598" t="s">
        <v>327</v>
      </c>
      <c r="B424" s="599"/>
      <c r="C424" s="159" t="s">
        <v>132</v>
      </c>
      <c r="D424" s="159" t="s">
        <v>132</v>
      </c>
      <c r="E424" s="170">
        <f>E420+E423</f>
        <v>26400</v>
      </c>
      <c r="I424" s="174">
        <v>547490.8</v>
      </c>
      <c r="J424" s="174">
        <f>I424-E424</f>
        <v>521090.80000000005</v>
      </c>
    </row>
    <row r="425" ht="12" customHeight="1"/>
    <row r="426" spans="1:9" s="254" customFormat="1" ht="12.75" customHeight="1" hidden="1">
      <c r="A426" s="609" t="s">
        <v>606</v>
      </c>
      <c r="B426" s="609"/>
      <c r="C426" s="609"/>
      <c r="D426" s="609"/>
      <c r="E426" s="609"/>
      <c r="F426" s="609"/>
      <c r="G426" s="609"/>
      <c r="H426" s="609"/>
      <c r="I426" s="609"/>
    </row>
    <row r="427" spans="1:2" s="245" customFormat="1" ht="12.75" hidden="1">
      <c r="A427" s="646" t="s">
        <v>392</v>
      </c>
      <c r="B427" s="646"/>
    </row>
    <row r="428" spans="1:5" s="298" customFormat="1" ht="25.5" hidden="1">
      <c r="A428" s="296" t="s">
        <v>125</v>
      </c>
      <c r="B428" s="296" t="s">
        <v>122</v>
      </c>
      <c r="C428" s="296" t="s">
        <v>196</v>
      </c>
      <c r="D428" s="305" t="s">
        <v>157</v>
      </c>
      <c r="E428" s="297" t="s">
        <v>154</v>
      </c>
    </row>
    <row r="429" spans="1:5" s="298" customFormat="1" ht="12.75" hidden="1">
      <c r="A429" s="296">
        <v>1</v>
      </c>
      <c r="B429" s="296">
        <v>2</v>
      </c>
      <c r="C429" s="296">
        <v>3</v>
      </c>
      <c r="D429" s="305">
        <v>4</v>
      </c>
      <c r="E429" s="306">
        <v>5</v>
      </c>
    </row>
    <row r="430" spans="1:5" s="245" customFormat="1" ht="12.75" hidden="1">
      <c r="A430" s="246"/>
      <c r="B430" s="129"/>
      <c r="C430" s="185"/>
      <c r="D430" s="114"/>
      <c r="E430" s="153"/>
    </row>
    <row r="431" spans="1:5" s="245" customFormat="1" ht="14.25" customHeight="1" hidden="1">
      <c r="A431" s="607" t="s">
        <v>158</v>
      </c>
      <c r="B431" s="608"/>
      <c r="C431" s="385"/>
      <c r="D431" s="272" t="s">
        <v>132</v>
      </c>
      <c r="E431" s="394">
        <f>SUM(E430)</f>
        <v>0</v>
      </c>
    </row>
    <row r="432" spans="1:5" s="245" customFormat="1" ht="12.75" hidden="1">
      <c r="A432" s="246">
        <v>1</v>
      </c>
      <c r="B432" s="257"/>
      <c r="C432" s="249"/>
      <c r="D432" s="249"/>
      <c r="E432" s="301"/>
    </row>
    <row r="433" spans="1:5" s="245" customFormat="1" ht="15" customHeight="1" hidden="1">
      <c r="A433" s="603" t="s">
        <v>351</v>
      </c>
      <c r="B433" s="604"/>
      <c r="C433" s="386"/>
      <c r="D433" s="387" t="s">
        <v>132</v>
      </c>
      <c r="E433" s="388"/>
    </row>
    <row r="434" spans="1:5" s="245" customFormat="1" ht="15" customHeight="1" hidden="1">
      <c r="A434" s="391"/>
      <c r="B434" s="391"/>
      <c r="C434" s="392"/>
      <c r="D434" s="393"/>
      <c r="E434" s="273"/>
    </row>
    <row r="435" spans="1:11" s="254" customFormat="1" ht="12.75" hidden="1">
      <c r="A435" s="605" t="s">
        <v>327</v>
      </c>
      <c r="B435" s="606"/>
      <c r="C435" s="389" t="s">
        <v>132</v>
      </c>
      <c r="D435" s="389" t="s">
        <v>132</v>
      </c>
      <c r="E435" s="390">
        <f>E431+E433+E434</f>
        <v>0</v>
      </c>
      <c r="K435" s="384"/>
    </row>
    <row r="436" ht="12.75" hidden="1"/>
    <row r="437" spans="1:9" s="111" customFormat="1" ht="18" customHeight="1">
      <c r="A437" s="596" t="s">
        <v>556</v>
      </c>
      <c r="B437" s="597"/>
      <c r="C437" s="597"/>
      <c r="D437" s="597"/>
      <c r="E437" s="597"/>
      <c r="F437" s="597"/>
      <c r="G437" s="597"/>
      <c r="H437" s="597"/>
      <c r="I437" s="597"/>
    </row>
    <row r="438" spans="1:5" s="123" customFormat="1" ht="25.5">
      <c r="A438" s="122" t="s">
        <v>125</v>
      </c>
      <c r="B438" s="122" t="s">
        <v>122</v>
      </c>
      <c r="C438" s="122" t="s">
        <v>123</v>
      </c>
      <c r="D438" s="124" t="s">
        <v>197</v>
      </c>
      <c r="E438" s="124" t="s">
        <v>154</v>
      </c>
    </row>
    <row r="439" spans="1:5" s="111" customFormat="1" ht="12.75">
      <c r="A439" s="115"/>
      <c r="B439" s="114">
        <v>1</v>
      </c>
      <c r="C439" s="114">
        <v>2</v>
      </c>
      <c r="D439" s="114">
        <v>3</v>
      </c>
      <c r="E439" s="114">
        <v>4</v>
      </c>
    </row>
    <row r="440" spans="1:5" s="111" customFormat="1" ht="12.75">
      <c r="A440" s="115" t="s">
        <v>457</v>
      </c>
      <c r="B440" s="129" t="s">
        <v>459</v>
      </c>
      <c r="C440" s="114"/>
      <c r="D440" s="114"/>
      <c r="E440" s="153">
        <v>6411100</v>
      </c>
    </row>
    <row r="441" spans="1:5" s="111" customFormat="1" ht="14.25" customHeight="1">
      <c r="A441" s="614" t="s">
        <v>324</v>
      </c>
      <c r="B441" s="613"/>
      <c r="C441" s="205">
        <f>SUM(C440:C440)</f>
        <v>0</v>
      </c>
      <c r="D441" s="114" t="s">
        <v>132</v>
      </c>
      <c r="E441" s="153">
        <f>SUM(E440:E440)</f>
        <v>6411100</v>
      </c>
    </row>
    <row r="442" spans="1:5" s="111" customFormat="1" ht="12.75">
      <c r="A442" s="115" t="s">
        <v>458</v>
      </c>
      <c r="B442" s="129"/>
      <c r="C442" s="114"/>
      <c r="D442" s="114"/>
      <c r="E442" s="483"/>
    </row>
    <row r="443" spans="1:5" s="111" customFormat="1" ht="14.25" customHeight="1">
      <c r="A443" s="657" t="s">
        <v>198</v>
      </c>
      <c r="B443" s="648"/>
      <c r="C443" s="205">
        <f>SUM(C442:C442)</f>
        <v>0</v>
      </c>
      <c r="D443" s="114" t="s">
        <v>132</v>
      </c>
      <c r="E443" s="483">
        <f>SUM(E442:E442)</f>
        <v>0</v>
      </c>
    </row>
    <row r="444" spans="1:5" s="111" customFormat="1" ht="14.25" customHeight="1">
      <c r="A444" s="186"/>
      <c r="B444" s="186"/>
      <c r="C444" s="415"/>
      <c r="D444" s="114"/>
      <c r="E444" s="158"/>
    </row>
    <row r="445" spans="1:5" s="111" customFormat="1" ht="12.75">
      <c r="A445" s="615" t="s">
        <v>327</v>
      </c>
      <c r="B445" s="615"/>
      <c r="C445" s="113" t="s">
        <v>132</v>
      </c>
      <c r="D445" s="114" t="s">
        <v>132</v>
      </c>
      <c r="E445" s="170">
        <f>E441+E443+E444</f>
        <v>6411100</v>
      </c>
    </row>
    <row r="446" spans="1:6" s="111" customFormat="1" ht="12.75">
      <c r="A446" s="601" t="s">
        <v>421</v>
      </c>
      <c r="B446" s="601"/>
      <c r="C446" s="601"/>
      <c r="D446" s="601"/>
      <c r="E446" s="601"/>
      <c r="F446" s="308" t="s">
        <v>422</v>
      </c>
    </row>
    <row r="447" spans="1:8" s="111" customFormat="1" ht="12.75" customHeight="1">
      <c r="A447" s="179"/>
      <c r="B447" s="681" t="s">
        <v>423</v>
      </c>
      <c r="C447" s="681" t="s">
        <v>424</v>
      </c>
      <c r="D447" s="681" t="s">
        <v>425</v>
      </c>
      <c r="E447" s="226"/>
      <c r="F447" s="665" t="s">
        <v>423</v>
      </c>
      <c r="G447" s="665" t="s">
        <v>424</v>
      </c>
      <c r="H447" s="665" t="s">
        <v>426</v>
      </c>
    </row>
    <row r="448" spans="1:8" s="111" customFormat="1" ht="12.75">
      <c r="A448" s="179"/>
      <c r="B448" s="682"/>
      <c r="C448" s="682"/>
      <c r="D448" s="682"/>
      <c r="E448" s="226"/>
      <c r="F448" s="666"/>
      <c r="G448" s="666"/>
      <c r="H448" s="666"/>
    </row>
    <row r="449" spans="1:8" s="111" customFormat="1" ht="12.75">
      <c r="A449" s="179"/>
      <c r="B449" s="683"/>
      <c r="C449" s="683"/>
      <c r="D449" s="683"/>
      <c r="E449" s="226"/>
      <c r="F449" s="667"/>
      <c r="G449" s="667"/>
      <c r="H449" s="667"/>
    </row>
    <row r="450" spans="1:8" s="111" customFormat="1" ht="12.75">
      <c r="A450" s="179"/>
      <c r="B450" s="309">
        <v>1</v>
      </c>
      <c r="C450" s="309">
        <v>2</v>
      </c>
      <c r="D450" s="309">
        <v>3</v>
      </c>
      <c r="E450" s="226"/>
      <c r="F450" s="309">
        <v>1</v>
      </c>
      <c r="G450" s="309">
        <v>2</v>
      </c>
      <c r="H450" s="309">
        <v>3</v>
      </c>
    </row>
    <row r="451" spans="1:8" s="111" customFormat="1" ht="102">
      <c r="A451" s="179"/>
      <c r="B451" s="310" t="s">
        <v>732</v>
      </c>
      <c r="C451" s="250" t="s">
        <v>109</v>
      </c>
      <c r="D451" s="250">
        <v>103</v>
      </c>
      <c r="E451" s="226"/>
      <c r="F451" s="310" t="s">
        <v>732</v>
      </c>
      <c r="G451" s="250"/>
      <c r="H451" s="250">
        <v>103</v>
      </c>
    </row>
    <row r="452" spans="1:8" s="111" customFormat="1" ht="51">
      <c r="A452" s="179"/>
      <c r="B452" s="374" t="s">
        <v>734</v>
      </c>
      <c r="C452" s="313" t="s">
        <v>109</v>
      </c>
      <c r="D452" s="313">
        <v>115</v>
      </c>
      <c r="E452" s="226"/>
      <c r="F452" s="310" t="s">
        <v>427</v>
      </c>
      <c r="G452" s="250" t="s">
        <v>428</v>
      </c>
      <c r="H452" s="250">
        <v>4</v>
      </c>
    </row>
    <row r="453" spans="1:8" s="111" customFormat="1" ht="114.75">
      <c r="A453" s="179"/>
      <c r="B453" s="250" t="s">
        <v>429</v>
      </c>
      <c r="C453" s="250" t="s">
        <v>430</v>
      </c>
      <c r="D453" s="250">
        <v>146</v>
      </c>
      <c r="E453" s="226"/>
      <c r="F453" s="310" t="s">
        <v>733</v>
      </c>
      <c r="G453" s="250"/>
      <c r="H453" s="250">
        <v>115</v>
      </c>
    </row>
    <row r="454" spans="1:8" s="111" customFormat="1" ht="12.75" customHeight="1">
      <c r="A454" s="179"/>
      <c r="B454" s="250" t="s">
        <v>432</v>
      </c>
      <c r="C454" s="250" t="s">
        <v>430</v>
      </c>
      <c r="D454" s="250">
        <v>190</v>
      </c>
      <c r="E454" s="226"/>
      <c r="F454" s="310" t="s">
        <v>431</v>
      </c>
      <c r="G454" s="250" t="s">
        <v>428</v>
      </c>
      <c r="H454" s="250">
        <v>4</v>
      </c>
    </row>
    <row r="455" spans="1:8" s="111" customFormat="1" ht="12.75">
      <c r="A455" s="179"/>
      <c r="B455" s="250" t="s">
        <v>433</v>
      </c>
      <c r="C455" s="250" t="s">
        <v>434</v>
      </c>
      <c r="D455" s="250">
        <v>247</v>
      </c>
      <c r="E455" s="226"/>
      <c r="F455" s="310" t="s">
        <v>433</v>
      </c>
      <c r="G455" s="250" t="s">
        <v>109</v>
      </c>
      <c r="H455" s="250">
        <v>247</v>
      </c>
    </row>
    <row r="456" spans="1:8" s="111" customFormat="1" ht="13.5" customHeight="1" thickBot="1">
      <c r="A456" s="179"/>
      <c r="B456" s="250" t="s">
        <v>436</v>
      </c>
      <c r="C456" s="250" t="s">
        <v>109</v>
      </c>
      <c r="D456" s="276">
        <f>D451*D453*D455</f>
        <v>3714386</v>
      </c>
      <c r="E456" s="226"/>
      <c r="F456" s="310" t="s">
        <v>435</v>
      </c>
      <c r="G456" s="311" t="s">
        <v>109</v>
      </c>
      <c r="H456" s="312">
        <f>H452*H455*H451+H453*H454*H455</f>
        <v>215384</v>
      </c>
    </row>
    <row r="457" spans="1:8" s="111" customFormat="1" ht="13.5" thickBot="1">
      <c r="A457" s="179"/>
      <c r="B457" s="250" t="s">
        <v>438</v>
      </c>
      <c r="C457" s="250" t="s">
        <v>109</v>
      </c>
      <c r="D457" s="276">
        <f>D452*D454*D455</f>
        <v>5396950</v>
      </c>
      <c r="E457" s="226"/>
      <c r="F457" s="339" t="s">
        <v>437</v>
      </c>
      <c r="G457" s="340" t="s">
        <v>109</v>
      </c>
      <c r="H457" s="341">
        <f>H456</f>
        <v>215384</v>
      </c>
    </row>
    <row r="458" spans="1:5" s="111" customFormat="1" ht="12.75">
      <c r="A458" s="179"/>
      <c r="B458" s="250" t="s">
        <v>439</v>
      </c>
      <c r="C458" s="250" t="s">
        <v>440</v>
      </c>
      <c r="D458" s="335">
        <v>0.32</v>
      </c>
      <c r="E458" s="226"/>
    </row>
    <row r="459" spans="1:10" s="111" customFormat="1" ht="26.25" thickBot="1">
      <c r="A459" s="179"/>
      <c r="B459" s="300" t="s">
        <v>441</v>
      </c>
      <c r="C459" s="313" t="s">
        <v>109</v>
      </c>
      <c r="D459" s="314">
        <f>(D456+D457)-(D456+D457)*D458</f>
        <v>6195708.48</v>
      </c>
      <c r="E459" s="226"/>
      <c r="J459" s="375">
        <f>D460+H457</f>
        <v>6411092.48</v>
      </c>
    </row>
    <row r="460" spans="1:5" s="111" customFormat="1" ht="13.5" thickBot="1">
      <c r="A460" s="179"/>
      <c r="B460" s="336" t="s">
        <v>442</v>
      </c>
      <c r="C460" s="337" t="s">
        <v>109</v>
      </c>
      <c r="D460" s="338">
        <f>SUM(D459)</f>
        <v>6195708.48</v>
      </c>
      <c r="E460" s="226"/>
    </row>
    <row r="461" spans="1:5" s="111" customFormat="1" ht="13.5" thickBot="1">
      <c r="A461" s="179"/>
      <c r="B461" s="288"/>
      <c r="C461" s="288"/>
      <c r="D461" s="288"/>
      <c r="E461" s="226"/>
    </row>
    <row r="462" spans="1:4" ht="12.75">
      <c r="A462" s="318" t="s">
        <v>125</v>
      </c>
      <c r="B462" s="319" t="s">
        <v>552</v>
      </c>
      <c r="C462" s="684" t="s">
        <v>395</v>
      </c>
      <c r="D462" s="685"/>
    </row>
    <row r="463" spans="1:4" ht="12.75">
      <c r="A463" s="323">
        <v>1</v>
      </c>
      <c r="B463" s="234">
        <v>2</v>
      </c>
      <c r="C463" s="688">
        <v>3</v>
      </c>
      <c r="D463" s="689"/>
    </row>
    <row r="464" spans="1:4" ht="12.75">
      <c r="A464" s="359">
        <v>1</v>
      </c>
      <c r="B464" s="235" t="s">
        <v>553</v>
      </c>
      <c r="C464" s="677">
        <f>E357+E424+E445</f>
        <v>6437500</v>
      </c>
      <c r="D464" s="678"/>
    </row>
    <row r="465" spans="1:4" ht="12.75">
      <c r="A465" s="359">
        <v>2</v>
      </c>
      <c r="B465" s="235" t="s">
        <v>554</v>
      </c>
      <c r="C465" s="677">
        <v>0</v>
      </c>
      <c r="D465" s="678"/>
    </row>
    <row r="466" spans="1:4" ht="12.75">
      <c r="A466" s="413"/>
      <c r="B466" s="414"/>
      <c r="C466" s="677"/>
      <c r="D466" s="678"/>
    </row>
    <row r="467" spans="1:4" ht="13.5" thickBot="1">
      <c r="A467" s="333"/>
      <c r="B467" s="334" t="s">
        <v>555</v>
      </c>
      <c r="C467" s="686">
        <f>C464+C465+C466</f>
        <v>6437500</v>
      </c>
      <c r="D467" s="687"/>
    </row>
    <row r="469" spans="1:8" ht="15">
      <c r="A469" s="1" t="s">
        <v>406</v>
      </c>
      <c r="B469" s="7"/>
      <c r="C469" s="484"/>
      <c r="D469" s="484"/>
      <c r="F469" s="679" t="s">
        <v>691</v>
      </c>
      <c r="G469" s="679"/>
      <c r="H469" s="679"/>
    </row>
    <row r="470" spans="1:3" ht="15">
      <c r="A470" s="1"/>
      <c r="B470" s="7"/>
      <c r="C470" s="5"/>
    </row>
    <row r="471" spans="1:8" ht="15">
      <c r="A471" s="1" t="s">
        <v>61</v>
      </c>
      <c r="B471" s="7"/>
      <c r="C471" s="484"/>
      <c r="D471" s="484"/>
      <c r="F471" s="679" t="s">
        <v>207</v>
      </c>
      <c r="G471" s="679"/>
      <c r="H471" s="679"/>
    </row>
    <row r="472" spans="1:5" ht="15">
      <c r="A472" s="1"/>
      <c r="B472" s="7"/>
      <c r="C472" s="680"/>
      <c r="D472" s="680"/>
      <c r="E472" s="680"/>
    </row>
    <row r="473" spans="1:8" ht="15">
      <c r="A473" s="1" t="s">
        <v>183</v>
      </c>
      <c r="B473" s="7"/>
      <c r="C473" s="484"/>
      <c r="D473" s="484"/>
      <c r="F473" s="679" t="s">
        <v>207</v>
      </c>
      <c r="G473" s="679"/>
      <c r="H473" s="679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 t="s">
        <v>184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7" spans="1:2" ht="14.25" customHeight="1">
      <c r="A477" s="645" t="s">
        <v>396</v>
      </c>
      <c r="B477" s="645"/>
    </row>
    <row r="478" spans="1:8" ht="15">
      <c r="A478" s="1" t="s">
        <v>397</v>
      </c>
      <c r="B478" s="7"/>
      <c r="C478" s="562"/>
      <c r="D478" s="562"/>
      <c r="F478" s="658"/>
      <c r="G478" s="658"/>
      <c r="H478" s="658"/>
    </row>
  </sheetData>
  <sheetProtection/>
  <mergeCells count="183">
    <mergeCell ref="D11:G11"/>
    <mergeCell ref="A4:H4"/>
    <mergeCell ref="A156:H156"/>
    <mergeCell ref="A426:I426"/>
    <mergeCell ref="A431:B431"/>
    <mergeCell ref="C42:D42"/>
    <mergeCell ref="A46:I46"/>
    <mergeCell ref="I11:I13"/>
    <mergeCell ref="C47:I47"/>
    <mergeCell ref="A49:I49"/>
    <mergeCell ref="H11:H13"/>
    <mergeCell ref="C11:C13"/>
    <mergeCell ref="A58:B58"/>
    <mergeCell ref="A7:B7"/>
    <mergeCell ref="E12:G12"/>
    <mergeCell ref="A18:B18"/>
    <mergeCell ref="A38:B38"/>
    <mergeCell ref="A8:B8"/>
    <mergeCell ref="A11:A13"/>
    <mergeCell ref="B11:B13"/>
    <mergeCell ref="A90:B90"/>
    <mergeCell ref="A40:I40"/>
    <mergeCell ref="A9:I9"/>
    <mergeCell ref="A20:B20"/>
    <mergeCell ref="A50:I50"/>
    <mergeCell ref="A54:B54"/>
    <mergeCell ref="A48:B48"/>
    <mergeCell ref="A44:B44"/>
    <mergeCell ref="A39:I39"/>
    <mergeCell ref="C41:D41"/>
    <mergeCell ref="C44:D44"/>
    <mergeCell ref="A74:B74"/>
    <mergeCell ref="C74:I74"/>
    <mergeCell ref="A22:I22"/>
    <mergeCell ref="A23:I23"/>
    <mergeCell ref="A57:B57"/>
    <mergeCell ref="A56:I56"/>
    <mergeCell ref="A47:B47"/>
    <mergeCell ref="C43:D43"/>
    <mergeCell ref="A59:I59"/>
    <mergeCell ref="A60:I60"/>
    <mergeCell ref="A121:B121"/>
    <mergeCell ref="D12:D13"/>
    <mergeCell ref="C20:I20"/>
    <mergeCell ref="A21:B21"/>
    <mergeCell ref="A106:B106"/>
    <mergeCell ref="A76:I76"/>
    <mergeCell ref="A75:B75"/>
    <mergeCell ref="A77:I77"/>
    <mergeCell ref="A84:B84"/>
    <mergeCell ref="A89:B89"/>
    <mergeCell ref="A112:I112"/>
    <mergeCell ref="C92:I92"/>
    <mergeCell ref="A105:B105"/>
    <mergeCell ref="A197:B197"/>
    <mergeCell ref="A95:I95"/>
    <mergeCell ref="A101:B101"/>
    <mergeCell ref="A117:B117"/>
    <mergeCell ref="A133:B133"/>
    <mergeCell ref="A130:B130"/>
    <mergeCell ref="A198:I198"/>
    <mergeCell ref="A134:B134"/>
    <mergeCell ref="A159:B159"/>
    <mergeCell ref="A158:I158"/>
    <mergeCell ref="A144:B144"/>
    <mergeCell ref="C144:I144"/>
    <mergeCell ref="A151:B151"/>
    <mergeCell ref="A154:B154"/>
    <mergeCell ref="A138:I138"/>
    <mergeCell ref="A136:B136"/>
    <mergeCell ref="A291:B291"/>
    <mergeCell ref="A124:I124"/>
    <mergeCell ref="A109:B109"/>
    <mergeCell ref="A110:B110"/>
    <mergeCell ref="A111:I111"/>
    <mergeCell ref="A279:B279"/>
    <mergeCell ref="A191:B191"/>
    <mergeCell ref="A194:B194"/>
    <mergeCell ref="A123:B123"/>
    <mergeCell ref="C109:I109"/>
    <mergeCell ref="A311:B311"/>
    <mergeCell ref="A314:B314"/>
    <mergeCell ref="A315:B315"/>
    <mergeCell ref="A108:I108"/>
    <mergeCell ref="A153:B153"/>
    <mergeCell ref="A280:I280"/>
    <mergeCell ref="A285:B285"/>
    <mergeCell ref="A288:B288"/>
    <mergeCell ref="A302:B302"/>
    <mergeCell ref="A125:I125"/>
    <mergeCell ref="C465:D465"/>
    <mergeCell ref="C467:D467"/>
    <mergeCell ref="A303:B303"/>
    <mergeCell ref="A305:B305"/>
    <mergeCell ref="A306:I306"/>
    <mergeCell ref="H447:H449"/>
    <mergeCell ref="C463:D463"/>
    <mergeCell ref="C464:D464"/>
    <mergeCell ref="A427:B427"/>
    <mergeCell ref="B447:B449"/>
    <mergeCell ref="C447:C449"/>
    <mergeCell ref="D447:D449"/>
    <mergeCell ref="F447:F449"/>
    <mergeCell ref="A433:B433"/>
    <mergeCell ref="G447:G449"/>
    <mergeCell ref="C462:D462"/>
    <mergeCell ref="A477:B477"/>
    <mergeCell ref="C478:D478"/>
    <mergeCell ref="F478:H478"/>
    <mergeCell ref="C466:D466"/>
    <mergeCell ref="F473:H473"/>
    <mergeCell ref="C472:E472"/>
    <mergeCell ref="F469:H469"/>
    <mergeCell ref="F471:H471"/>
    <mergeCell ref="A6:I6"/>
    <mergeCell ref="C7:I7"/>
    <mergeCell ref="A10:I10"/>
    <mergeCell ref="A37:B37"/>
    <mergeCell ref="C37:I37"/>
    <mergeCell ref="A94:I94"/>
    <mergeCell ref="A92:B92"/>
    <mergeCell ref="A71:B71"/>
    <mergeCell ref="C57:I57"/>
    <mergeCell ref="A93:B93"/>
    <mergeCell ref="A120:B120"/>
    <mergeCell ref="A135:B135"/>
    <mergeCell ref="C135:I135"/>
    <mergeCell ref="A122:B122"/>
    <mergeCell ref="A137:I137"/>
    <mergeCell ref="C122:I122"/>
    <mergeCell ref="C157:I157"/>
    <mergeCell ref="A145:B145"/>
    <mergeCell ref="A146:I146"/>
    <mergeCell ref="A147:I147"/>
    <mergeCell ref="A157:B157"/>
    <mergeCell ref="A143:B143"/>
    <mergeCell ref="A160:I160"/>
    <mergeCell ref="A165:B165"/>
    <mergeCell ref="A168:B168"/>
    <mergeCell ref="A174:I174"/>
    <mergeCell ref="A171:B171"/>
    <mergeCell ref="A172:I172"/>
    <mergeCell ref="A169:B169"/>
    <mergeCell ref="C171:I171"/>
    <mergeCell ref="A173:B173"/>
    <mergeCell ref="A317:B317"/>
    <mergeCell ref="A318:I318"/>
    <mergeCell ref="A179:B179"/>
    <mergeCell ref="A182:B182"/>
    <mergeCell ref="A183:B183"/>
    <mergeCell ref="A185:B185"/>
    <mergeCell ref="A186:I186"/>
    <mergeCell ref="A195:B195"/>
    <mergeCell ref="A292:I292"/>
    <mergeCell ref="A289:B289"/>
    <mergeCell ref="A337:B337"/>
    <mergeCell ref="A446:E446"/>
    <mergeCell ref="A420:B420"/>
    <mergeCell ref="A423:B423"/>
    <mergeCell ref="A424:B424"/>
    <mergeCell ref="A359:B359"/>
    <mergeCell ref="A435:B435"/>
    <mergeCell ref="A445:B445"/>
    <mergeCell ref="A1:H1"/>
    <mergeCell ref="A342:B342"/>
    <mergeCell ref="A344:B344"/>
    <mergeCell ref="A441:B441"/>
    <mergeCell ref="A443:B443"/>
    <mergeCell ref="A323:B323"/>
    <mergeCell ref="A326:B326"/>
    <mergeCell ref="A327:B327"/>
    <mergeCell ref="A329:F329"/>
    <mergeCell ref="A360:I360"/>
    <mergeCell ref="A2:H2"/>
    <mergeCell ref="A437:I437"/>
    <mergeCell ref="A345:I345"/>
    <mergeCell ref="A352:B352"/>
    <mergeCell ref="A356:B356"/>
    <mergeCell ref="A357:B357"/>
    <mergeCell ref="A341:B341"/>
    <mergeCell ref="A298:B298"/>
    <mergeCell ref="A330:B330"/>
    <mergeCell ref="A331:I331"/>
  </mergeCells>
  <printOptions/>
  <pageMargins left="0.5511811023622047" right="0.1968503937007874" top="0.2362204724409449" bottom="0.1968503937007874" header="0.1968503937007874" footer="0.1968503937007874"/>
  <pageSetup fitToHeight="0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view="pageBreakPreview" zoomScale="80" zoomScaleSheetLayoutView="80" zoomScalePageLayoutView="0" workbookViewId="0" topLeftCell="A5">
      <selection activeCell="A84" sqref="A84:E84"/>
    </sheetView>
  </sheetViews>
  <sheetFormatPr defaultColWidth="9.140625" defaultRowHeight="15"/>
  <cols>
    <col min="1" max="1" width="9.140625" style="109" customWidth="1"/>
    <col min="2" max="2" width="35.7109375" style="109" customWidth="1"/>
    <col min="3" max="3" width="17.421875" style="109" customWidth="1"/>
    <col min="4" max="4" width="19.00390625" style="109" customWidth="1"/>
    <col min="5" max="5" width="18.28125" style="109" customWidth="1"/>
    <col min="6" max="6" width="24.00390625" style="109" customWidth="1"/>
    <col min="7" max="7" width="25.57421875" style="109" customWidth="1"/>
    <col min="8" max="8" width="24.140625" style="109" customWidth="1"/>
    <col min="9" max="16384" width="9.140625" style="109" customWidth="1"/>
  </cols>
  <sheetData>
    <row r="1" spans="1:8" ht="12.75" customHeight="1">
      <c r="A1" s="227"/>
      <c r="B1" s="227"/>
      <c r="C1" s="227"/>
      <c r="D1" s="227"/>
      <c r="E1" s="227"/>
      <c r="F1" s="227"/>
      <c r="G1" s="227"/>
      <c r="H1" s="227"/>
    </row>
    <row r="2" spans="1:8" ht="17.25" customHeight="1">
      <c r="A2" s="670" t="s">
        <v>713</v>
      </c>
      <c r="B2" s="670"/>
      <c r="C2" s="670"/>
      <c r="D2" s="670"/>
      <c r="E2" s="670"/>
      <c r="F2" s="670"/>
      <c r="G2" s="670"/>
      <c r="H2" s="236"/>
    </row>
    <row r="3" spans="1:9" ht="15.75">
      <c r="A3" s="705" t="s">
        <v>199</v>
      </c>
      <c r="B3" s="705"/>
      <c r="C3" s="705"/>
      <c r="D3" s="705"/>
      <c r="E3" s="705"/>
      <c r="F3" s="705"/>
      <c r="G3" s="705"/>
      <c r="H3" s="477"/>
      <c r="I3" s="236"/>
    </row>
    <row r="4" spans="1:8" ht="14.25" customHeight="1">
      <c r="A4" s="706" t="s">
        <v>187</v>
      </c>
      <c r="B4" s="706"/>
      <c r="C4" s="706"/>
      <c r="D4" s="706"/>
      <c r="E4" s="706"/>
      <c r="F4" s="706"/>
      <c r="G4" s="706"/>
      <c r="H4" s="112"/>
    </row>
    <row r="5" spans="1:8" s="111" customFormat="1" ht="22.5" customHeight="1">
      <c r="A5" s="699" t="s">
        <v>740</v>
      </c>
      <c r="B5" s="699"/>
      <c r="C5" s="699"/>
      <c r="D5" s="699"/>
      <c r="E5" s="699"/>
      <c r="F5" s="699"/>
      <c r="G5" s="699"/>
      <c r="H5" s="228"/>
    </row>
    <row r="6" spans="1:9" s="111" customFormat="1" ht="17.25" customHeight="1" hidden="1">
      <c r="A6" s="623" t="s">
        <v>398</v>
      </c>
      <c r="B6" s="623"/>
      <c r="C6" s="623"/>
      <c r="D6" s="623"/>
      <c r="E6" s="623"/>
      <c r="F6" s="623"/>
      <c r="G6" s="623"/>
      <c r="H6" s="623"/>
      <c r="I6" s="623"/>
    </row>
    <row r="7" s="111" customFormat="1" ht="12.75" hidden="1">
      <c r="A7" s="108"/>
    </row>
    <row r="8" spans="1:8" s="112" customFormat="1" ht="17.25" customHeight="1" hidden="1">
      <c r="A8" s="600" t="s">
        <v>364</v>
      </c>
      <c r="B8" s="600"/>
      <c r="C8" s="640"/>
      <c r="D8" s="640"/>
      <c r="E8" s="640"/>
      <c r="F8" s="640"/>
      <c r="G8" s="640"/>
      <c r="H8" s="640"/>
    </row>
    <row r="9" spans="1:2" s="111" customFormat="1" ht="12.75" customHeight="1" hidden="1">
      <c r="A9" s="600" t="s">
        <v>365</v>
      </c>
      <c r="B9" s="600"/>
    </row>
    <row r="10" spans="1:8" s="112" customFormat="1" ht="17.25" customHeight="1" hidden="1">
      <c r="A10" s="600" t="s">
        <v>354</v>
      </c>
      <c r="B10" s="600"/>
      <c r="C10" s="600"/>
      <c r="D10" s="600"/>
      <c r="E10" s="600"/>
      <c r="F10" s="600"/>
      <c r="G10" s="600"/>
      <c r="H10" s="600"/>
    </row>
    <row r="11" spans="1:8" s="121" customFormat="1" ht="17.25" customHeight="1" hidden="1">
      <c r="A11" s="596" t="s">
        <v>557</v>
      </c>
      <c r="B11" s="596"/>
      <c r="C11" s="596"/>
      <c r="D11" s="596"/>
      <c r="E11" s="596"/>
      <c r="F11" s="596"/>
      <c r="G11" s="596"/>
      <c r="H11" s="596"/>
    </row>
    <row r="12" s="111" customFormat="1" ht="5.25" customHeight="1" hidden="1">
      <c r="A12" s="110"/>
    </row>
    <row r="13" spans="1:8" s="123" customFormat="1" ht="66.75" customHeight="1" hidden="1">
      <c r="A13" s="122" t="s">
        <v>125</v>
      </c>
      <c r="B13" s="122" t="s">
        <v>122</v>
      </c>
      <c r="C13" s="122" t="s">
        <v>133</v>
      </c>
      <c r="D13" s="122" t="s">
        <v>134</v>
      </c>
      <c r="E13" s="122" t="s">
        <v>135</v>
      </c>
      <c r="F13" s="147" t="s">
        <v>136</v>
      </c>
      <c r="G13" s="211" t="s">
        <v>389</v>
      </c>
      <c r="H13" s="211" t="s">
        <v>390</v>
      </c>
    </row>
    <row r="14" spans="1:8" s="123" customFormat="1" ht="12.75" hidden="1">
      <c r="A14" s="122">
        <v>1</v>
      </c>
      <c r="B14" s="122">
        <v>2</v>
      </c>
      <c r="C14" s="122">
        <v>3</v>
      </c>
      <c r="D14" s="122">
        <v>4</v>
      </c>
      <c r="E14" s="122">
        <v>5</v>
      </c>
      <c r="F14" s="147">
        <v>6</v>
      </c>
      <c r="G14" s="148">
        <v>7</v>
      </c>
      <c r="H14" s="148">
        <v>8</v>
      </c>
    </row>
    <row r="15" spans="1:8" s="111" customFormat="1" ht="12.75" hidden="1">
      <c r="A15" s="115" t="s">
        <v>460</v>
      </c>
      <c r="B15" s="225"/>
      <c r="C15" s="114"/>
      <c r="D15" s="114"/>
      <c r="E15" s="114"/>
      <c r="F15" s="146"/>
      <c r="G15" s="208"/>
      <c r="H15" s="208"/>
    </row>
    <row r="16" spans="1:8" s="111" customFormat="1" ht="12.75" hidden="1">
      <c r="A16" s="115" t="s">
        <v>461</v>
      </c>
      <c r="B16" s="116"/>
      <c r="C16" s="114"/>
      <c r="D16" s="114"/>
      <c r="E16" s="114"/>
      <c r="F16" s="146"/>
      <c r="G16" s="208"/>
      <c r="H16" s="208"/>
    </row>
    <row r="17" spans="1:8" s="111" customFormat="1" ht="14.25" customHeight="1" hidden="1">
      <c r="A17" s="614" t="s">
        <v>366</v>
      </c>
      <c r="B17" s="613"/>
      <c r="C17" s="114" t="s">
        <v>8</v>
      </c>
      <c r="D17" s="114" t="s">
        <v>132</v>
      </c>
      <c r="E17" s="114" t="s">
        <v>132</v>
      </c>
      <c r="F17" s="229">
        <f>SUM(F15:F16)</f>
        <v>0</v>
      </c>
      <c r="G17" s="208"/>
      <c r="H17" s="208"/>
    </row>
    <row r="18" spans="1:8" s="111" customFormat="1" ht="12.75" hidden="1">
      <c r="A18" s="115" t="s">
        <v>460</v>
      </c>
      <c r="B18" s="116"/>
      <c r="C18" s="114"/>
      <c r="D18" s="114"/>
      <c r="E18" s="114"/>
      <c r="F18" s="146"/>
      <c r="G18" s="208"/>
      <c r="H18" s="208"/>
    </row>
    <row r="19" spans="1:8" s="111" customFormat="1" ht="12.75" hidden="1">
      <c r="A19" s="115" t="s">
        <v>461</v>
      </c>
      <c r="B19" s="116"/>
      <c r="C19" s="114"/>
      <c r="D19" s="114"/>
      <c r="E19" s="114"/>
      <c r="F19" s="146"/>
      <c r="G19" s="208"/>
      <c r="H19" s="208"/>
    </row>
    <row r="20" spans="1:8" s="111" customFormat="1" ht="14.25" customHeight="1" hidden="1">
      <c r="A20" s="614" t="s">
        <v>198</v>
      </c>
      <c r="B20" s="613"/>
      <c r="C20" s="114" t="s">
        <v>8</v>
      </c>
      <c r="D20" s="114" t="s">
        <v>132</v>
      </c>
      <c r="E20" s="114" t="s">
        <v>132</v>
      </c>
      <c r="F20" s="229">
        <f>SUM(F18:F19)</f>
        <v>0</v>
      </c>
      <c r="G20" s="114" t="s">
        <v>132</v>
      </c>
      <c r="H20" s="114" t="s">
        <v>132</v>
      </c>
    </row>
    <row r="21" spans="1:8" s="111" customFormat="1" ht="14.25" customHeight="1" hidden="1">
      <c r="A21" s="621" t="s">
        <v>391</v>
      </c>
      <c r="B21" s="622"/>
      <c r="C21" s="114" t="s">
        <v>8</v>
      </c>
      <c r="D21" s="114" t="s">
        <v>132</v>
      </c>
      <c r="E21" s="114" t="s">
        <v>132</v>
      </c>
      <c r="F21" s="230">
        <f>F17+F20</f>
        <v>0</v>
      </c>
      <c r="G21" s="114" t="s">
        <v>132</v>
      </c>
      <c r="H21" s="114" t="s">
        <v>132</v>
      </c>
    </row>
    <row r="22" s="111" customFormat="1" ht="12.75" hidden="1">
      <c r="A22" s="108"/>
    </row>
    <row r="23" s="111" customFormat="1" ht="12.75" hidden="1">
      <c r="A23" s="108"/>
    </row>
    <row r="24" spans="1:9" s="111" customFormat="1" ht="17.25" customHeight="1">
      <c r="A24" s="623" t="s">
        <v>613</v>
      </c>
      <c r="B24" s="623"/>
      <c r="C24" s="623"/>
      <c r="D24" s="623"/>
      <c r="E24" s="623"/>
      <c r="F24" s="623"/>
      <c r="G24" s="623"/>
      <c r="H24" s="131"/>
      <c r="I24" s="131"/>
    </row>
    <row r="25" spans="1:9" s="112" customFormat="1" ht="17.25" customHeight="1">
      <c r="A25" s="600" t="s">
        <v>376</v>
      </c>
      <c r="B25" s="600"/>
      <c r="C25" s="640"/>
      <c r="D25" s="640"/>
      <c r="E25" s="640"/>
      <c r="F25" s="640"/>
      <c r="G25" s="640"/>
      <c r="H25" s="640"/>
      <c r="I25" s="640"/>
    </row>
    <row r="26" spans="1:9" s="112" customFormat="1" ht="17.25" customHeight="1">
      <c r="A26" s="600" t="s">
        <v>354</v>
      </c>
      <c r="B26" s="600"/>
      <c r="C26" s="600"/>
      <c r="D26" s="600"/>
      <c r="E26" s="600"/>
      <c r="F26" s="600"/>
      <c r="G26" s="600"/>
      <c r="H26" s="600"/>
      <c r="I26" s="600"/>
    </row>
    <row r="27" spans="1:2" s="111" customFormat="1" ht="12.75">
      <c r="A27" s="600" t="s">
        <v>378</v>
      </c>
      <c r="B27" s="600"/>
    </row>
    <row r="28" spans="1:9" s="111" customFormat="1" ht="15.75" customHeight="1">
      <c r="A28" s="696" t="s">
        <v>615</v>
      </c>
      <c r="B28" s="696"/>
      <c r="C28" s="696"/>
      <c r="D28" s="696"/>
      <c r="E28" s="696"/>
      <c r="F28" s="696"/>
      <c r="G28" s="696"/>
      <c r="H28" s="696"/>
      <c r="I28" s="696"/>
    </row>
    <row r="29" spans="1:7" s="123" customFormat="1" ht="25.5">
      <c r="A29" s="122" t="s">
        <v>125</v>
      </c>
      <c r="B29" s="122" t="s">
        <v>122</v>
      </c>
      <c r="C29" s="122" t="s">
        <v>196</v>
      </c>
      <c r="D29" s="122" t="s">
        <v>156</v>
      </c>
      <c r="E29" s="124" t="s">
        <v>154</v>
      </c>
      <c r="F29" s="211" t="s">
        <v>389</v>
      </c>
      <c r="G29" s="211" t="s">
        <v>390</v>
      </c>
    </row>
    <row r="30" spans="1:7" s="123" customFormat="1" ht="12.75">
      <c r="A30" s="122">
        <v>1</v>
      </c>
      <c r="B30" s="122">
        <v>2</v>
      </c>
      <c r="C30" s="122">
        <v>3</v>
      </c>
      <c r="D30" s="122">
        <v>4</v>
      </c>
      <c r="E30" s="122">
        <v>5</v>
      </c>
      <c r="F30" s="148">
        <v>7</v>
      </c>
      <c r="G30" s="148">
        <v>8</v>
      </c>
    </row>
    <row r="31" spans="1:7" s="111" customFormat="1" ht="65.25" customHeight="1">
      <c r="A31" s="115">
        <v>1</v>
      </c>
      <c r="B31" s="156" t="s">
        <v>741</v>
      </c>
      <c r="C31" s="185">
        <v>1035340</v>
      </c>
      <c r="D31" s="114">
        <v>1</v>
      </c>
      <c r="E31" s="153">
        <f>C31*D31</f>
        <v>1035340</v>
      </c>
      <c r="F31" s="238" t="s">
        <v>735</v>
      </c>
      <c r="G31" s="238" t="s">
        <v>742</v>
      </c>
    </row>
    <row r="32" spans="1:7" s="111" customFormat="1" ht="76.5">
      <c r="A32" s="115">
        <v>2</v>
      </c>
      <c r="B32" s="156" t="s">
        <v>701</v>
      </c>
      <c r="C32" s="427">
        <v>10652.18</v>
      </c>
      <c r="D32" s="393">
        <v>1</v>
      </c>
      <c r="E32" s="427">
        <f>C32*D32</f>
        <v>10652.18</v>
      </c>
      <c r="F32" s="238" t="s">
        <v>571</v>
      </c>
      <c r="G32" s="238"/>
    </row>
    <row r="33" spans="1:7" s="111" customFormat="1" ht="14.25" customHeight="1">
      <c r="A33" s="616" t="s">
        <v>158</v>
      </c>
      <c r="B33" s="613"/>
      <c r="C33" s="158">
        <f>SUM(C31:C32)</f>
        <v>1045992.18</v>
      </c>
      <c r="D33" s="114"/>
      <c r="E33" s="158">
        <f>SUM(E31:E32)</f>
        <v>1045992.18</v>
      </c>
      <c r="F33" s="157"/>
      <c r="G33" s="208"/>
    </row>
    <row r="34" spans="1:7" s="111" customFormat="1" ht="12.75">
      <c r="A34" s="115"/>
      <c r="B34" s="137"/>
      <c r="C34" s="114"/>
      <c r="D34" s="114"/>
      <c r="E34" s="205"/>
      <c r="F34" s="157"/>
      <c r="G34" s="157"/>
    </row>
    <row r="35" spans="1:7" s="111" customFormat="1" ht="12.75">
      <c r="A35" s="115"/>
      <c r="B35" s="186"/>
      <c r="C35" s="113"/>
      <c r="D35" s="114"/>
      <c r="E35" s="205"/>
      <c r="F35" s="157"/>
      <c r="G35" s="157"/>
    </row>
    <row r="36" spans="1:7" s="111" customFormat="1" ht="14.25" customHeight="1">
      <c r="A36" s="694" t="s">
        <v>329</v>
      </c>
      <c r="B36" s="695"/>
      <c r="C36" s="205">
        <v>0</v>
      </c>
      <c r="D36" s="114" t="s">
        <v>132</v>
      </c>
      <c r="E36" s="205">
        <v>0</v>
      </c>
      <c r="F36" s="157"/>
      <c r="G36" s="157"/>
    </row>
    <row r="37" spans="1:7" s="111" customFormat="1" ht="12.75">
      <c r="A37" s="141"/>
      <c r="B37" s="186"/>
      <c r="C37" s="126"/>
      <c r="D37" s="126"/>
      <c r="E37" s="185"/>
      <c r="F37" s="238"/>
      <c r="G37" s="208"/>
    </row>
    <row r="38" spans="1:7" s="111" customFormat="1" ht="12.75">
      <c r="A38" s="615" t="s">
        <v>327</v>
      </c>
      <c r="B38" s="615"/>
      <c r="C38" s="113" t="s">
        <v>132</v>
      </c>
      <c r="D38" s="114" t="s">
        <v>132</v>
      </c>
      <c r="E38" s="177">
        <f>E33</f>
        <v>1045992.18</v>
      </c>
      <c r="F38" s="208"/>
      <c r="G38" s="157"/>
    </row>
    <row r="39" spans="1:5" s="111" customFormat="1" ht="8.25" customHeight="1">
      <c r="A39" s="179"/>
      <c r="B39" s="179"/>
      <c r="C39" s="135"/>
      <c r="D39" s="135"/>
      <c r="E39" s="226"/>
    </row>
    <row r="40" spans="1:2" s="111" customFormat="1" ht="12.75" hidden="1">
      <c r="A40" s="600" t="s">
        <v>392</v>
      </c>
      <c r="B40" s="600"/>
    </row>
    <row r="41" spans="1:9" s="111" customFormat="1" ht="15.75" customHeight="1" hidden="1">
      <c r="A41" s="696" t="s">
        <v>616</v>
      </c>
      <c r="B41" s="696"/>
      <c r="C41" s="696"/>
      <c r="D41" s="696"/>
      <c r="E41" s="696"/>
      <c r="F41" s="696"/>
      <c r="G41" s="696"/>
      <c r="H41" s="696"/>
      <c r="I41" s="696"/>
    </row>
    <row r="42" spans="1:7" s="123" customFormat="1" ht="25.5" hidden="1">
      <c r="A42" s="122" t="s">
        <v>125</v>
      </c>
      <c r="B42" s="122" t="s">
        <v>122</v>
      </c>
      <c r="C42" s="122" t="s">
        <v>196</v>
      </c>
      <c r="D42" s="122" t="s">
        <v>156</v>
      </c>
      <c r="E42" s="124" t="s">
        <v>154</v>
      </c>
      <c r="F42" s="211" t="s">
        <v>389</v>
      </c>
      <c r="G42" s="211" t="s">
        <v>390</v>
      </c>
    </row>
    <row r="43" spans="1:7" s="123" customFormat="1" ht="12.75" hidden="1">
      <c r="A43" s="122">
        <v>1</v>
      </c>
      <c r="B43" s="122">
        <v>2</v>
      </c>
      <c r="C43" s="122">
        <v>3</v>
      </c>
      <c r="D43" s="122">
        <v>4</v>
      </c>
      <c r="E43" s="122">
        <v>5</v>
      </c>
      <c r="F43" s="148">
        <v>7</v>
      </c>
      <c r="G43" s="148">
        <v>8</v>
      </c>
    </row>
    <row r="44" spans="1:7" s="111" customFormat="1" ht="12.75" hidden="1">
      <c r="A44" s="115"/>
      <c r="B44" s="156"/>
      <c r="C44" s="185"/>
      <c r="D44" s="114"/>
      <c r="E44" s="153"/>
      <c r="F44" s="239"/>
      <c r="G44" s="237"/>
    </row>
    <row r="45" spans="1:7" s="111" customFormat="1" ht="14.25" customHeight="1" hidden="1">
      <c r="A45" s="616" t="s">
        <v>158</v>
      </c>
      <c r="B45" s="613"/>
      <c r="C45" s="158">
        <f>SUM(C44:C44)</f>
        <v>0</v>
      </c>
      <c r="D45" s="114"/>
      <c r="E45" s="153">
        <f>SUM(E44:E44)</f>
        <v>0</v>
      </c>
      <c r="F45" s="157"/>
      <c r="G45" s="208"/>
    </row>
    <row r="46" spans="1:7" s="111" customFormat="1" ht="12.75" hidden="1">
      <c r="A46" s="115" t="s">
        <v>558</v>
      </c>
      <c r="B46" s="137"/>
      <c r="C46" s="114"/>
      <c r="D46" s="114"/>
      <c r="E46" s="205"/>
      <c r="F46" s="157"/>
      <c r="G46" s="157"/>
    </row>
    <row r="47" spans="1:7" s="111" customFormat="1" ht="12.75" hidden="1">
      <c r="A47" s="115" t="s">
        <v>559</v>
      </c>
      <c r="B47" s="186"/>
      <c r="C47" s="113"/>
      <c r="D47" s="114"/>
      <c r="E47" s="205"/>
      <c r="F47" s="157"/>
      <c r="G47" s="157"/>
    </row>
    <row r="48" spans="1:7" s="111" customFormat="1" ht="14.25" customHeight="1" hidden="1">
      <c r="A48" s="697" t="s">
        <v>198</v>
      </c>
      <c r="B48" s="698"/>
      <c r="C48" s="205">
        <v>0</v>
      </c>
      <c r="D48" s="114" t="s">
        <v>132</v>
      </c>
      <c r="E48" s="205">
        <v>0</v>
      </c>
      <c r="F48" s="157"/>
      <c r="G48" s="157"/>
    </row>
    <row r="49" spans="1:7" s="111" customFormat="1" ht="12.75" hidden="1">
      <c r="A49" s="598" t="s">
        <v>327</v>
      </c>
      <c r="B49" s="599"/>
      <c r="C49" s="114" t="s">
        <v>132</v>
      </c>
      <c r="D49" s="114" t="s">
        <v>132</v>
      </c>
      <c r="E49" s="177">
        <f>E45+E48</f>
        <v>0</v>
      </c>
      <c r="F49" s="208"/>
      <c r="G49" s="157"/>
    </row>
    <row r="50" spans="1:5" s="111" customFormat="1" ht="12.75" hidden="1">
      <c r="A50" s="179"/>
      <c r="B50" s="179"/>
      <c r="C50" s="135"/>
      <c r="D50" s="135"/>
      <c r="E50" s="226"/>
    </row>
    <row r="51" spans="1:5" s="111" customFormat="1" ht="12.75" hidden="1">
      <c r="A51" s="179"/>
      <c r="B51" s="179"/>
      <c r="C51" s="135"/>
      <c r="D51" s="135"/>
      <c r="E51" s="226"/>
    </row>
    <row r="52" spans="1:8" s="112" customFormat="1" ht="17.25" customHeight="1">
      <c r="A52" s="600" t="s">
        <v>379</v>
      </c>
      <c r="B52" s="600"/>
      <c r="C52" s="640"/>
      <c r="D52" s="640"/>
      <c r="E52" s="640"/>
      <c r="F52" s="640"/>
      <c r="G52" s="640"/>
      <c r="H52" s="640"/>
    </row>
    <row r="53" spans="1:8" s="112" customFormat="1" ht="13.5" customHeight="1">
      <c r="A53" s="600" t="s">
        <v>354</v>
      </c>
      <c r="B53" s="600"/>
      <c r="C53" s="600"/>
      <c r="D53" s="600"/>
      <c r="E53" s="600"/>
      <c r="F53" s="600"/>
      <c r="G53" s="600"/>
      <c r="H53" s="600"/>
    </row>
    <row r="54" spans="1:2" s="111" customFormat="1" ht="12.75" customHeight="1" hidden="1">
      <c r="A54" s="600" t="s">
        <v>381</v>
      </c>
      <c r="B54" s="600"/>
    </row>
    <row r="55" spans="1:8" s="111" customFormat="1" ht="17.25" customHeight="1" hidden="1">
      <c r="A55" s="597" t="s">
        <v>560</v>
      </c>
      <c r="B55" s="596"/>
      <c r="C55" s="596"/>
      <c r="D55" s="596"/>
      <c r="E55" s="596"/>
      <c r="F55" s="596"/>
      <c r="G55" s="596"/>
      <c r="H55" s="596"/>
    </row>
    <row r="56" spans="1:8" s="123" customFormat="1" ht="25.5" hidden="1">
      <c r="A56" s="122" t="s">
        <v>125</v>
      </c>
      <c r="B56" s="122" t="s">
        <v>122</v>
      </c>
      <c r="C56" s="122" t="s">
        <v>150</v>
      </c>
      <c r="D56" s="122" t="s">
        <v>195</v>
      </c>
      <c r="E56" s="122" t="s">
        <v>151</v>
      </c>
      <c r="F56" s="122" t="s">
        <v>136</v>
      </c>
      <c r="G56" s="211" t="s">
        <v>389</v>
      </c>
      <c r="H56" s="211" t="s">
        <v>390</v>
      </c>
    </row>
    <row r="57" spans="1:8" s="111" customFormat="1" ht="12.75" hidden="1">
      <c r="A57" s="114">
        <v>1</v>
      </c>
      <c r="B57" s="114">
        <v>2</v>
      </c>
      <c r="C57" s="114">
        <v>3</v>
      </c>
      <c r="D57" s="114">
        <v>4</v>
      </c>
      <c r="E57" s="114">
        <v>5</v>
      </c>
      <c r="F57" s="146">
        <v>6</v>
      </c>
      <c r="G57" s="148">
        <v>7</v>
      </c>
      <c r="H57" s="148">
        <v>8</v>
      </c>
    </row>
    <row r="58" spans="1:8" s="111" customFormat="1" ht="12.75" hidden="1">
      <c r="A58" s="115" t="s">
        <v>558</v>
      </c>
      <c r="B58" s="129"/>
      <c r="C58" s="114"/>
      <c r="D58" s="114"/>
      <c r="E58" s="114"/>
      <c r="F58" s="146"/>
      <c r="G58" s="208"/>
      <c r="H58" s="208"/>
    </row>
    <row r="59" spans="1:8" s="111" customFormat="1" ht="12.75" hidden="1">
      <c r="A59" s="115" t="s">
        <v>559</v>
      </c>
      <c r="B59" s="129"/>
      <c r="C59" s="114"/>
      <c r="D59" s="114"/>
      <c r="E59" s="114"/>
      <c r="F59" s="146"/>
      <c r="G59" s="208"/>
      <c r="H59" s="208"/>
    </row>
    <row r="60" spans="1:8" s="111" customFormat="1" ht="12.75" customHeight="1" hidden="1">
      <c r="A60" s="614" t="s">
        <v>366</v>
      </c>
      <c r="B60" s="613"/>
      <c r="C60" s="114"/>
      <c r="D60" s="114"/>
      <c r="E60" s="114"/>
      <c r="F60" s="231">
        <f>SUM(F58:F59)</f>
        <v>0</v>
      </c>
      <c r="G60" s="208"/>
      <c r="H60" s="208"/>
    </row>
    <row r="61" spans="1:8" s="111" customFormat="1" ht="12.75" hidden="1">
      <c r="A61" s="115" t="s">
        <v>558</v>
      </c>
      <c r="B61" s="129"/>
      <c r="C61" s="114"/>
      <c r="D61" s="114"/>
      <c r="E61" s="114"/>
      <c r="F61" s="146"/>
      <c r="G61" s="208"/>
      <c r="H61" s="208"/>
    </row>
    <row r="62" spans="1:8" s="111" customFormat="1" ht="12.75" hidden="1">
      <c r="A62" s="115" t="s">
        <v>559</v>
      </c>
      <c r="B62" s="129"/>
      <c r="C62" s="114"/>
      <c r="D62" s="114"/>
      <c r="E62" s="114"/>
      <c r="F62" s="146"/>
      <c r="G62" s="208"/>
      <c r="H62" s="208"/>
    </row>
    <row r="63" spans="1:8" s="111" customFormat="1" ht="12.75" customHeight="1" hidden="1">
      <c r="A63" s="614" t="s">
        <v>198</v>
      </c>
      <c r="B63" s="613"/>
      <c r="C63" s="114"/>
      <c r="D63" s="114"/>
      <c r="E63" s="114"/>
      <c r="F63" s="231">
        <f>SUM(F61:F62)</f>
        <v>0</v>
      </c>
      <c r="G63" s="208"/>
      <c r="H63" s="208"/>
    </row>
    <row r="64" spans="1:8" s="111" customFormat="1" ht="14.25" customHeight="1" hidden="1">
      <c r="A64" s="621" t="s">
        <v>391</v>
      </c>
      <c r="B64" s="622"/>
      <c r="C64" s="114" t="s">
        <v>132</v>
      </c>
      <c r="D64" s="114" t="s">
        <v>132</v>
      </c>
      <c r="E64" s="114" t="s">
        <v>132</v>
      </c>
      <c r="F64" s="230">
        <f>F60+F63</f>
        <v>0</v>
      </c>
      <c r="G64" s="208"/>
      <c r="H64" s="208"/>
    </row>
    <row r="65" s="111" customFormat="1" ht="12.75" hidden="1">
      <c r="A65" s="108"/>
    </row>
    <row r="66" spans="1:8" s="111" customFormat="1" ht="17.25" customHeight="1" hidden="1">
      <c r="A66" s="600" t="s">
        <v>383</v>
      </c>
      <c r="B66" s="600"/>
      <c r="C66" s="117"/>
      <c r="D66" s="117"/>
      <c r="E66" s="117"/>
      <c r="F66" s="117"/>
      <c r="G66" s="117"/>
      <c r="H66" s="117"/>
    </row>
    <row r="67" spans="1:8" s="111" customFormat="1" ht="17.25" customHeight="1" hidden="1">
      <c r="A67" s="596" t="s">
        <v>561</v>
      </c>
      <c r="B67" s="596"/>
      <c r="C67" s="596"/>
      <c r="D67" s="596"/>
      <c r="E67" s="596"/>
      <c r="F67" s="596"/>
      <c r="G67" s="596"/>
      <c r="H67" s="596"/>
    </row>
    <row r="68" spans="1:7" s="123" customFormat="1" ht="25.5" hidden="1">
      <c r="A68" s="122" t="s">
        <v>125</v>
      </c>
      <c r="B68" s="122" t="s">
        <v>122</v>
      </c>
      <c r="C68" s="122" t="s">
        <v>152</v>
      </c>
      <c r="D68" s="122" t="s">
        <v>153</v>
      </c>
      <c r="E68" s="122" t="s">
        <v>154</v>
      </c>
      <c r="F68" s="211" t="s">
        <v>389</v>
      </c>
      <c r="G68" s="211" t="s">
        <v>390</v>
      </c>
    </row>
    <row r="69" spans="1:7" s="111" customFormat="1" ht="12.75" hidden="1">
      <c r="A69" s="114">
        <v>1</v>
      </c>
      <c r="B69" s="114">
        <v>2</v>
      </c>
      <c r="C69" s="114">
        <v>3</v>
      </c>
      <c r="D69" s="114">
        <v>4</v>
      </c>
      <c r="E69" s="146">
        <v>5</v>
      </c>
      <c r="F69" s="232">
        <v>6</v>
      </c>
      <c r="G69" s="232">
        <v>7</v>
      </c>
    </row>
    <row r="70" spans="1:7" s="111" customFormat="1" ht="12.75" hidden="1">
      <c r="A70" s="115" t="s">
        <v>562</v>
      </c>
      <c r="B70" s="129"/>
      <c r="C70" s="114"/>
      <c r="D70" s="114"/>
      <c r="E70" s="146"/>
      <c r="F70" s="208"/>
      <c r="G70" s="208"/>
    </row>
    <row r="71" spans="1:7" s="111" customFormat="1" ht="12.75" hidden="1">
      <c r="A71" s="115" t="s">
        <v>563</v>
      </c>
      <c r="B71" s="129"/>
      <c r="C71" s="114"/>
      <c r="D71" s="114"/>
      <c r="E71" s="146"/>
      <c r="F71" s="208"/>
      <c r="G71" s="208"/>
    </row>
    <row r="72" spans="1:7" s="111" customFormat="1" ht="14.25" customHeight="1" hidden="1">
      <c r="A72" s="614" t="s">
        <v>366</v>
      </c>
      <c r="B72" s="613"/>
      <c r="C72" s="114"/>
      <c r="D72" s="114"/>
      <c r="E72" s="231">
        <f>SUM(E70:E71)</f>
        <v>0</v>
      </c>
      <c r="F72" s="208"/>
      <c r="G72" s="208"/>
    </row>
    <row r="73" spans="1:7" s="111" customFormat="1" ht="12.75" hidden="1">
      <c r="A73" s="115" t="s">
        <v>562</v>
      </c>
      <c r="B73" s="129"/>
      <c r="C73" s="114"/>
      <c r="D73" s="114"/>
      <c r="E73" s="146"/>
      <c r="F73" s="208"/>
      <c r="G73" s="208"/>
    </row>
    <row r="74" spans="1:7" s="111" customFormat="1" ht="12.75" hidden="1">
      <c r="A74" s="115" t="s">
        <v>563</v>
      </c>
      <c r="B74" s="129"/>
      <c r="C74" s="114"/>
      <c r="D74" s="114"/>
      <c r="E74" s="146"/>
      <c r="F74" s="208"/>
      <c r="G74" s="208"/>
    </row>
    <row r="75" spans="1:7" s="111" customFormat="1" ht="14.25" customHeight="1" hidden="1">
      <c r="A75" s="614" t="s">
        <v>198</v>
      </c>
      <c r="B75" s="613"/>
      <c r="C75" s="114"/>
      <c r="D75" s="114"/>
      <c r="E75" s="231">
        <f>SUM(E73:E74)</f>
        <v>0</v>
      </c>
      <c r="F75" s="208"/>
      <c r="G75" s="208"/>
    </row>
    <row r="76" spans="1:7" s="111" customFormat="1" ht="14.25" customHeight="1" hidden="1">
      <c r="A76" s="621" t="s">
        <v>391</v>
      </c>
      <c r="B76" s="622"/>
      <c r="C76" s="116"/>
      <c r="D76" s="116"/>
      <c r="E76" s="230">
        <f>E72+E75</f>
        <v>0</v>
      </c>
      <c r="F76" s="208"/>
      <c r="G76" s="208"/>
    </row>
    <row r="77" s="111" customFormat="1" ht="12.75" hidden="1">
      <c r="A77" s="108"/>
    </row>
    <row r="78" s="111" customFormat="1" ht="12.75" hidden="1">
      <c r="A78" s="108"/>
    </row>
    <row r="79" spans="1:2" s="111" customFormat="1" ht="12.75">
      <c r="A79" s="600" t="s">
        <v>378</v>
      </c>
      <c r="B79" s="600"/>
    </row>
    <row r="80" spans="1:8" s="121" customFormat="1" ht="15.75" customHeight="1">
      <c r="A80" s="696" t="s">
        <v>617</v>
      </c>
      <c r="B80" s="696"/>
      <c r="C80" s="696"/>
      <c r="D80" s="696"/>
      <c r="E80" s="696"/>
      <c r="F80" s="696"/>
      <c r="G80" s="696"/>
      <c r="H80" s="696"/>
    </row>
    <row r="81" spans="1:7" s="123" customFormat="1" ht="25.5">
      <c r="A81" s="122" t="s">
        <v>125</v>
      </c>
      <c r="B81" s="122" t="s">
        <v>122</v>
      </c>
      <c r="C81" s="122" t="s">
        <v>196</v>
      </c>
      <c r="D81" s="122" t="s">
        <v>156</v>
      </c>
      <c r="E81" s="124" t="s">
        <v>154</v>
      </c>
      <c r="F81" s="211" t="s">
        <v>389</v>
      </c>
      <c r="G81" s="211" t="s">
        <v>390</v>
      </c>
    </row>
    <row r="82" spans="1:7" s="123" customFormat="1" ht="12.75">
      <c r="A82" s="122">
        <v>1</v>
      </c>
      <c r="B82" s="122">
        <v>2</v>
      </c>
      <c r="C82" s="122">
        <v>3</v>
      </c>
      <c r="D82" s="122">
        <v>4</v>
      </c>
      <c r="E82" s="147">
        <v>5</v>
      </c>
      <c r="F82" s="148">
        <v>6</v>
      </c>
      <c r="G82" s="148">
        <v>7</v>
      </c>
    </row>
    <row r="83" spans="1:7" s="111" customFormat="1" ht="46.5" customHeight="1">
      <c r="A83" s="115">
        <v>1</v>
      </c>
      <c r="B83" s="156" t="s">
        <v>264</v>
      </c>
      <c r="C83" s="185">
        <v>60048.82</v>
      </c>
      <c r="D83" s="114">
        <v>1</v>
      </c>
      <c r="E83" s="185">
        <f>C83*D83</f>
        <v>60048.82</v>
      </c>
      <c r="F83" s="701" t="s">
        <v>571</v>
      </c>
      <c r="G83" s="703"/>
    </row>
    <row r="84" spans="1:7" s="111" customFormat="1" ht="33.75" customHeight="1">
      <c r="A84" s="115"/>
      <c r="B84" s="156"/>
      <c r="C84" s="427"/>
      <c r="D84" s="393"/>
      <c r="E84" s="427"/>
      <c r="F84" s="702"/>
      <c r="G84" s="704"/>
    </row>
    <row r="85" spans="1:7" s="111" customFormat="1" ht="12.75">
      <c r="A85" s="616" t="s">
        <v>158</v>
      </c>
      <c r="B85" s="613"/>
      <c r="C85" s="114"/>
      <c r="D85" s="114"/>
      <c r="E85" s="185">
        <f>SUM(E83:E84)</f>
        <v>60048.82</v>
      </c>
      <c r="F85" s="208"/>
      <c r="G85" s="208"/>
    </row>
    <row r="86" spans="1:7" s="111" customFormat="1" ht="12.75">
      <c r="A86" s="115"/>
      <c r="B86" s="129"/>
      <c r="C86" s="114"/>
      <c r="D86" s="114"/>
      <c r="E86" s="231"/>
      <c r="F86" s="208"/>
      <c r="G86" s="208"/>
    </row>
    <row r="87" spans="1:7" s="111" customFormat="1" ht="12.75">
      <c r="A87" s="115"/>
      <c r="B87" s="129"/>
      <c r="C87" s="114"/>
      <c r="D87" s="114"/>
      <c r="E87" s="231"/>
      <c r="F87" s="208"/>
      <c r="G87" s="208"/>
    </row>
    <row r="88" spans="1:7" s="111" customFormat="1" ht="12.75" customHeight="1">
      <c r="A88" s="694" t="s">
        <v>329</v>
      </c>
      <c r="B88" s="695"/>
      <c r="C88" s="172"/>
      <c r="D88" s="172"/>
      <c r="E88" s="395">
        <f>SUM(E86:E87)</f>
        <v>0</v>
      </c>
      <c r="F88" s="396"/>
      <c r="G88" s="208"/>
    </row>
    <row r="89" spans="1:7" s="111" customFormat="1" ht="12.75">
      <c r="A89" s="141"/>
      <c r="B89" s="186"/>
      <c r="C89" s="126"/>
      <c r="D89" s="126"/>
      <c r="E89" s="185"/>
      <c r="F89" s="238"/>
      <c r="G89" s="208"/>
    </row>
    <row r="90" spans="1:7" s="111" customFormat="1" ht="12.75">
      <c r="A90" s="615" t="s">
        <v>327</v>
      </c>
      <c r="B90" s="615"/>
      <c r="C90" s="138" t="s">
        <v>132</v>
      </c>
      <c r="D90" s="138" t="s">
        <v>132</v>
      </c>
      <c r="E90" s="398">
        <f>E85+E88+E89</f>
        <v>60048.82</v>
      </c>
      <c r="F90" s="399"/>
      <c r="G90" s="208"/>
    </row>
    <row r="91" s="111" customFormat="1" ht="8.25" customHeight="1">
      <c r="A91" s="108"/>
    </row>
    <row r="92" spans="1:2" s="111" customFormat="1" ht="12.75" hidden="1">
      <c r="A92" s="600" t="s">
        <v>392</v>
      </c>
      <c r="B92" s="600"/>
    </row>
    <row r="93" spans="1:8" s="121" customFormat="1" ht="12.75" customHeight="1" hidden="1">
      <c r="A93" s="696" t="s">
        <v>618</v>
      </c>
      <c r="B93" s="696"/>
      <c r="C93" s="696"/>
      <c r="D93" s="696"/>
      <c r="E93" s="696"/>
      <c r="F93" s="696"/>
      <c r="G93" s="696"/>
      <c r="H93" s="696"/>
    </row>
    <row r="94" spans="1:7" s="123" customFormat="1" ht="25.5" hidden="1">
      <c r="A94" s="122" t="s">
        <v>125</v>
      </c>
      <c r="B94" s="122" t="s">
        <v>122</v>
      </c>
      <c r="C94" s="122" t="s">
        <v>196</v>
      </c>
      <c r="D94" s="147" t="s">
        <v>157</v>
      </c>
      <c r="E94" s="124" t="s">
        <v>154</v>
      </c>
      <c r="F94" s="211" t="s">
        <v>389</v>
      </c>
      <c r="G94" s="211" t="s">
        <v>390</v>
      </c>
    </row>
    <row r="95" spans="1:7" s="123" customFormat="1" ht="12.75" hidden="1">
      <c r="A95" s="122">
        <v>1</v>
      </c>
      <c r="B95" s="122">
        <v>2</v>
      </c>
      <c r="C95" s="122">
        <v>3</v>
      </c>
      <c r="D95" s="147">
        <v>4</v>
      </c>
      <c r="E95" s="148">
        <v>5</v>
      </c>
      <c r="F95" s="148">
        <v>6</v>
      </c>
      <c r="G95" s="148">
        <v>7</v>
      </c>
    </row>
    <row r="96" spans="1:7" s="111" customFormat="1" ht="12.75" hidden="1">
      <c r="A96" s="115"/>
      <c r="B96" s="129"/>
      <c r="C96" s="185"/>
      <c r="D96" s="114"/>
      <c r="E96" s="153"/>
      <c r="F96" s="238"/>
      <c r="G96" s="238"/>
    </row>
    <row r="97" spans="1:7" s="111" customFormat="1" ht="12.75" hidden="1">
      <c r="A97" s="115" t="s">
        <v>565</v>
      </c>
      <c r="B97" s="129"/>
      <c r="C97" s="114"/>
      <c r="D97" s="146"/>
      <c r="E97" s="208"/>
      <c r="F97" s="238"/>
      <c r="G97" s="238"/>
    </row>
    <row r="98" spans="1:7" s="111" customFormat="1" ht="12.75" hidden="1">
      <c r="A98" s="616" t="s">
        <v>158</v>
      </c>
      <c r="B98" s="613"/>
      <c r="C98" s="114"/>
      <c r="D98" s="114"/>
      <c r="E98" s="153">
        <f>SUM(E96:E97)</f>
        <v>0</v>
      </c>
      <c r="F98" s="208"/>
      <c r="G98" s="208"/>
    </row>
    <row r="99" spans="1:7" s="111" customFormat="1" ht="12.75" hidden="1">
      <c r="A99" s="115" t="s">
        <v>564</v>
      </c>
      <c r="B99" s="129"/>
      <c r="C99" s="114"/>
      <c r="D99" s="146"/>
      <c r="E99" s="208"/>
      <c r="F99" s="208"/>
      <c r="G99" s="208"/>
    </row>
    <row r="100" spans="1:7" s="111" customFormat="1" ht="12.75" hidden="1">
      <c r="A100" s="115" t="s">
        <v>565</v>
      </c>
      <c r="B100" s="129"/>
      <c r="C100" s="114"/>
      <c r="D100" s="146"/>
      <c r="E100" s="208"/>
      <c r="F100" s="208"/>
      <c r="G100" s="208"/>
    </row>
    <row r="101" spans="1:7" s="111" customFormat="1" ht="12.75" hidden="1">
      <c r="A101" s="616" t="s">
        <v>158</v>
      </c>
      <c r="B101" s="648"/>
      <c r="C101" s="114"/>
      <c r="D101" s="172"/>
      <c r="E101" s="401">
        <f>SUM(E99:E100)</f>
        <v>0</v>
      </c>
      <c r="F101" s="208"/>
      <c r="G101" s="208"/>
    </row>
    <row r="102" spans="1:7" s="111" customFormat="1" ht="12.75" hidden="1">
      <c r="A102" s="378"/>
      <c r="B102" s="186"/>
      <c r="C102" s="400"/>
      <c r="D102" s="126"/>
      <c r="E102" s="153"/>
      <c r="F102" s="238"/>
      <c r="G102" s="238"/>
    </row>
    <row r="103" spans="1:7" s="111" customFormat="1" ht="12.75" hidden="1">
      <c r="A103" s="115"/>
      <c r="B103" s="397" t="s">
        <v>391</v>
      </c>
      <c r="C103" s="114" t="s">
        <v>132</v>
      </c>
      <c r="D103" s="379"/>
      <c r="E103" s="402">
        <f>E98+E101+E102</f>
        <v>0</v>
      </c>
      <c r="F103" s="208"/>
      <c r="G103" s="208"/>
    </row>
    <row r="104" s="111" customFormat="1" ht="5.25" customHeight="1" hidden="1">
      <c r="A104" s="108"/>
    </row>
    <row r="105" spans="1:2" s="111" customFormat="1" ht="12.75" hidden="1">
      <c r="A105" s="600" t="s">
        <v>369</v>
      </c>
      <c r="B105" s="600"/>
    </row>
    <row r="106" spans="1:9" s="111" customFormat="1" ht="12.75" customHeight="1" hidden="1">
      <c r="A106" s="596" t="s">
        <v>566</v>
      </c>
      <c r="B106" s="596"/>
      <c r="C106" s="596"/>
      <c r="D106" s="596"/>
      <c r="E106" s="596"/>
      <c r="F106" s="596"/>
      <c r="G106" s="596"/>
      <c r="H106" s="596"/>
      <c r="I106" s="596"/>
    </row>
    <row r="107" spans="1:5" s="123" customFormat="1" ht="25.5" hidden="1">
      <c r="A107" s="122" t="s">
        <v>125</v>
      </c>
      <c r="B107" s="122" t="s">
        <v>122</v>
      </c>
      <c r="C107" s="122" t="s">
        <v>123</v>
      </c>
      <c r="D107" s="147" t="s">
        <v>402</v>
      </c>
      <c r="E107" s="124" t="s">
        <v>154</v>
      </c>
    </row>
    <row r="108" spans="1:5" s="123" customFormat="1" ht="12.75" hidden="1">
      <c r="A108" s="122">
        <v>1</v>
      </c>
      <c r="B108" s="122">
        <v>2</v>
      </c>
      <c r="C108" s="122">
        <v>3</v>
      </c>
      <c r="D108" s="147">
        <v>4</v>
      </c>
      <c r="E108" s="148">
        <v>5</v>
      </c>
    </row>
    <row r="109" spans="1:5" s="111" customFormat="1" ht="12.75" hidden="1">
      <c r="A109" s="115" t="s">
        <v>567</v>
      </c>
      <c r="B109" s="129"/>
      <c r="C109" s="114"/>
      <c r="D109" s="114"/>
      <c r="E109" s="114"/>
    </row>
    <row r="110" spans="1:5" s="111" customFormat="1" ht="12.75" hidden="1">
      <c r="A110" s="115" t="s">
        <v>568</v>
      </c>
      <c r="B110" s="129"/>
      <c r="C110" s="114"/>
      <c r="D110" s="114"/>
      <c r="E110" s="114"/>
    </row>
    <row r="111" spans="1:5" s="111" customFormat="1" ht="14.25" customHeight="1" hidden="1">
      <c r="A111" s="614" t="s">
        <v>366</v>
      </c>
      <c r="B111" s="613"/>
      <c r="C111" s="205">
        <f>SUM(C109:C110)</f>
        <v>0</v>
      </c>
      <c r="D111" s="114" t="s">
        <v>132</v>
      </c>
      <c r="E111" s="205">
        <f>SUM(E109:E110)</f>
        <v>0</v>
      </c>
    </row>
    <row r="112" spans="1:5" s="111" customFormat="1" ht="12.75" hidden="1">
      <c r="A112" s="115" t="s">
        <v>567</v>
      </c>
      <c r="B112" s="129"/>
      <c r="C112" s="114"/>
      <c r="D112" s="114"/>
      <c r="E112" s="205"/>
    </row>
    <row r="113" spans="1:5" s="111" customFormat="1" ht="12.75" hidden="1">
      <c r="A113" s="115" t="s">
        <v>568</v>
      </c>
      <c r="B113" s="137"/>
      <c r="C113" s="114"/>
      <c r="D113" s="114"/>
      <c r="E113" s="205"/>
    </row>
    <row r="114" spans="1:5" s="111" customFormat="1" ht="14.25" customHeight="1" hidden="1">
      <c r="A114" s="657" t="s">
        <v>198</v>
      </c>
      <c r="B114" s="648"/>
      <c r="C114" s="205">
        <f>SUM(C112:C113)</f>
        <v>0</v>
      </c>
      <c r="D114" s="114" t="s">
        <v>132</v>
      </c>
      <c r="E114" s="205">
        <f>SUM(E112:E113)</f>
        <v>0</v>
      </c>
    </row>
    <row r="115" spans="1:5" s="111" customFormat="1" ht="12.75" hidden="1">
      <c r="A115" s="615" t="s">
        <v>327</v>
      </c>
      <c r="B115" s="615"/>
      <c r="C115" s="113" t="s">
        <v>132</v>
      </c>
      <c r="D115" s="114" t="s">
        <v>132</v>
      </c>
      <c r="E115" s="223">
        <f>E111+E114</f>
        <v>0</v>
      </c>
    </row>
    <row r="116" s="111" customFormat="1" ht="8.25" customHeight="1" hidden="1">
      <c r="A116" s="108"/>
    </row>
    <row r="117" spans="1:2" s="111" customFormat="1" ht="12.75">
      <c r="A117" s="600" t="s">
        <v>393</v>
      </c>
      <c r="B117" s="600"/>
    </row>
    <row r="118" spans="1:8" s="111" customFormat="1" ht="16.5" customHeight="1">
      <c r="A118" s="696" t="s">
        <v>619</v>
      </c>
      <c r="B118" s="600"/>
      <c r="C118" s="600"/>
      <c r="D118" s="600"/>
      <c r="E118" s="600"/>
      <c r="F118" s="600"/>
      <c r="G118" s="600"/>
      <c r="H118" s="600"/>
    </row>
    <row r="119" spans="1:7" s="123" customFormat="1" ht="25.5">
      <c r="A119" s="122" t="s">
        <v>125</v>
      </c>
      <c r="B119" s="122" t="s">
        <v>122</v>
      </c>
      <c r="C119" s="122" t="s">
        <v>123</v>
      </c>
      <c r="D119" s="124" t="s">
        <v>197</v>
      </c>
      <c r="E119" s="124" t="s">
        <v>154</v>
      </c>
      <c r="F119" s="211" t="s">
        <v>389</v>
      </c>
      <c r="G119" s="211" t="s">
        <v>390</v>
      </c>
    </row>
    <row r="120" spans="1:7" s="123" customFormat="1" ht="12.75">
      <c r="A120" s="122">
        <v>1</v>
      </c>
      <c r="B120" s="122">
        <v>2</v>
      </c>
      <c r="C120" s="122">
        <v>3</v>
      </c>
      <c r="D120" s="122">
        <v>4</v>
      </c>
      <c r="E120" s="147">
        <v>5</v>
      </c>
      <c r="F120" s="148">
        <v>6</v>
      </c>
      <c r="G120" s="148">
        <v>7</v>
      </c>
    </row>
    <row r="121" spans="1:7" s="111" customFormat="1" ht="12.75" customHeight="1">
      <c r="A121" s="115">
        <v>1</v>
      </c>
      <c r="B121" s="129" t="s">
        <v>744</v>
      </c>
      <c r="C121" s="153">
        <v>10</v>
      </c>
      <c r="D121" s="153">
        <v>2000</v>
      </c>
      <c r="E121" s="280">
        <f>C121*D121</f>
        <v>20000</v>
      </c>
      <c r="F121" s="700" t="s">
        <v>735</v>
      </c>
      <c r="G121" s="700" t="s">
        <v>743</v>
      </c>
    </row>
    <row r="122" spans="1:7" s="111" customFormat="1" ht="12.75">
      <c r="A122" s="115">
        <v>2</v>
      </c>
      <c r="B122" s="129" t="s">
        <v>702</v>
      </c>
      <c r="C122" s="153">
        <v>8</v>
      </c>
      <c r="D122" s="153">
        <v>4000</v>
      </c>
      <c r="E122" s="280">
        <f>C122*D122</f>
        <v>32000</v>
      </c>
      <c r="F122" s="700"/>
      <c r="G122" s="700"/>
    </row>
    <row r="123" spans="1:7" s="111" customFormat="1" ht="12.75">
      <c r="A123" s="115">
        <v>3</v>
      </c>
      <c r="B123" s="129" t="s">
        <v>745</v>
      </c>
      <c r="C123" s="153">
        <v>8</v>
      </c>
      <c r="D123" s="153">
        <v>1000</v>
      </c>
      <c r="E123" s="280">
        <f>C123*D123</f>
        <v>8000</v>
      </c>
      <c r="F123" s="700"/>
      <c r="G123" s="700"/>
    </row>
    <row r="124" spans="1:7" s="111" customFormat="1" ht="12.75">
      <c r="A124" s="115">
        <v>4</v>
      </c>
      <c r="B124" s="129" t="s">
        <v>703</v>
      </c>
      <c r="C124" s="153">
        <v>4</v>
      </c>
      <c r="D124" s="153">
        <v>3750</v>
      </c>
      <c r="E124" s="280">
        <f>C124*D124</f>
        <v>15000</v>
      </c>
      <c r="F124" s="700"/>
      <c r="G124" s="700"/>
    </row>
    <row r="125" spans="1:7" s="111" customFormat="1" ht="12.75">
      <c r="A125" s="115">
        <v>5</v>
      </c>
      <c r="B125" s="129" t="s">
        <v>704</v>
      </c>
      <c r="C125" s="153">
        <v>16</v>
      </c>
      <c r="D125" s="153">
        <v>1000</v>
      </c>
      <c r="E125" s="280">
        <f>C125*D125</f>
        <v>16000</v>
      </c>
      <c r="F125" s="700"/>
      <c r="G125" s="700"/>
    </row>
    <row r="126" spans="1:7" s="111" customFormat="1" ht="12.75">
      <c r="A126" s="115"/>
      <c r="B126" s="129"/>
      <c r="C126" s="153"/>
      <c r="D126" s="153"/>
      <c r="E126" s="280"/>
      <c r="F126" s="157"/>
      <c r="G126" s="157"/>
    </row>
    <row r="127" spans="1:7" s="111" customFormat="1" ht="12.75">
      <c r="A127" s="616" t="s">
        <v>158</v>
      </c>
      <c r="B127" s="613"/>
      <c r="C127" s="114"/>
      <c r="D127" s="114"/>
      <c r="E127" s="280">
        <f>SUM(E121:E126)</f>
        <v>91000</v>
      </c>
      <c r="F127" s="208"/>
      <c r="G127" s="208"/>
    </row>
    <row r="128" spans="1:7" s="111" customFormat="1" ht="12.75">
      <c r="A128" s="115"/>
      <c r="B128" s="114"/>
      <c r="C128" s="114"/>
      <c r="D128" s="114"/>
      <c r="E128" s="146"/>
      <c r="F128" s="208"/>
      <c r="G128" s="208"/>
    </row>
    <row r="129" spans="1:7" s="111" customFormat="1" ht="12.75">
      <c r="A129" s="115"/>
      <c r="B129" s="116"/>
      <c r="C129" s="116"/>
      <c r="D129" s="116"/>
      <c r="E129" s="233"/>
      <c r="F129" s="208"/>
      <c r="G129" s="208"/>
    </row>
    <row r="130" spans="1:7" s="111" customFormat="1" ht="12.75" customHeight="1">
      <c r="A130" s="694" t="s">
        <v>329</v>
      </c>
      <c r="B130" s="695"/>
      <c r="C130" s="172"/>
      <c r="D130" s="172"/>
      <c r="E130" s="401">
        <f>SUM(E128:E129)</f>
        <v>0</v>
      </c>
      <c r="F130" s="208"/>
      <c r="G130" s="208"/>
    </row>
    <row r="131" spans="1:7" s="111" customFormat="1" ht="12.75">
      <c r="A131" s="378"/>
      <c r="B131" s="186"/>
      <c r="C131" s="126"/>
      <c r="D131" s="126"/>
      <c r="E131" s="280"/>
      <c r="F131" s="238"/>
      <c r="G131" s="238"/>
    </row>
    <row r="132" spans="1:7" s="111" customFormat="1" ht="12.75">
      <c r="A132" s="615" t="s">
        <v>327</v>
      </c>
      <c r="B132" s="615"/>
      <c r="C132" s="403"/>
      <c r="D132" s="138" t="s">
        <v>132</v>
      </c>
      <c r="E132" s="398">
        <f>E127+E130+E131</f>
        <v>91000</v>
      </c>
      <c r="F132" s="208"/>
      <c r="G132" s="208"/>
    </row>
    <row r="133" ht="3" customHeight="1"/>
    <row r="134" spans="1:2" s="111" customFormat="1" ht="12.75" hidden="1">
      <c r="A134" s="600" t="s">
        <v>394</v>
      </c>
      <c r="B134" s="600"/>
    </row>
    <row r="135" spans="1:8" s="111" customFormat="1" ht="18" customHeight="1" hidden="1">
      <c r="A135" s="597" t="s">
        <v>404</v>
      </c>
      <c r="B135" s="597"/>
      <c r="C135" s="597"/>
      <c r="D135" s="597"/>
      <c r="E135" s="597"/>
      <c r="F135" s="597"/>
      <c r="G135" s="597"/>
      <c r="H135" s="597"/>
    </row>
    <row r="136" spans="1:7" s="123" customFormat="1" ht="25.5" hidden="1">
      <c r="A136" s="122" t="s">
        <v>125</v>
      </c>
      <c r="B136" s="122" t="s">
        <v>122</v>
      </c>
      <c r="C136" s="122" t="s">
        <v>123</v>
      </c>
      <c r="D136" s="124" t="s">
        <v>197</v>
      </c>
      <c r="E136" s="124" t="s">
        <v>154</v>
      </c>
      <c r="F136" s="211" t="s">
        <v>389</v>
      </c>
      <c r="G136" s="211" t="s">
        <v>390</v>
      </c>
    </row>
    <row r="137" spans="1:7" s="111" customFormat="1" ht="12.75" hidden="1">
      <c r="A137" s="114">
        <v>1</v>
      </c>
      <c r="B137" s="114">
        <v>2</v>
      </c>
      <c r="C137" s="114">
        <v>3</v>
      </c>
      <c r="D137" s="114">
        <v>4</v>
      </c>
      <c r="E137" s="146">
        <v>5</v>
      </c>
      <c r="F137" s="148">
        <v>6</v>
      </c>
      <c r="G137" s="148">
        <v>7</v>
      </c>
    </row>
    <row r="138" spans="1:7" s="111" customFormat="1" ht="12.75" hidden="1">
      <c r="A138" s="115" t="s">
        <v>569</v>
      </c>
      <c r="B138" s="114"/>
      <c r="C138" s="114"/>
      <c r="D138" s="114"/>
      <c r="E138" s="146"/>
      <c r="F138" s="208"/>
      <c r="G138" s="208"/>
    </row>
    <row r="139" spans="1:7" s="111" customFormat="1" ht="12.75" hidden="1">
      <c r="A139" s="115" t="s">
        <v>570</v>
      </c>
      <c r="B139" s="114"/>
      <c r="C139" s="114"/>
      <c r="D139" s="114"/>
      <c r="E139" s="146"/>
      <c r="F139" s="208"/>
      <c r="G139" s="208"/>
    </row>
    <row r="140" spans="1:7" s="111" customFormat="1" ht="12.75" customHeight="1" hidden="1">
      <c r="A140" s="614" t="s">
        <v>366</v>
      </c>
      <c r="B140" s="613"/>
      <c r="C140" s="114"/>
      <c r="D140" s="114"/>
      <c r="E140" s="231">
        <f>SUM(E139:E139)</f>
        <v>0</v>
      </c>
      <c r="F140" s="208"/>
      <c r="G140" s="208"/>
    </row>
    <row r="141" spans="1:7" s="111" customFormat="1" ht="12.75" hidden="1">
      <c r="A141" s="115" t="s">
        <v>569</v>
      </c>
      <c r="B141" s="114"/>
      <c r="C141" s="114"/>
      <c r="D141" s="114"/>
      <c r="E141" s="146"/>
      <c r="F141" s="208"/>
      <c r="G141" s="208"/>
    </row>
    <row r="142" spans="1:7" s="111" customFormat="1" ht="12.75" hidden="1">
      <c r="A142" s="115" t="s">
        <v>570</v>
      </c>
      <c r="B142" s="116"/>
      <c r="C142" s="116"/>
      <c r="D142" s="116"/>
      <c r="E142" s="233"/>
      <c r="F142" s="208"/>
      <c r="G142" s="208"/>
    </row>
    <row r="143" spans="1:7" s="111" customFormat="1" ht="12.75" customHeight="1" hidden="1">
      <c r="A143" s="614" t="s">
        <v>198</v>
      </c>
      <c r="B143" s="613"/>
      <c r="C143" s="114"/>
      <c r="D143" s="114"/>
      <c r="E143" s="231">
        <f>SUM(E141:E142)</f>
        <v>0</v>
      </c>
      <c r="F143" s="208"/>
      <c r="G143" s="208"/>
    </row>
    <row r="144" spans="1:7" s="111" customFormat="1" ht="14.25" customHeight="1" hidden="1">
      <c r="A144" s="621" t="s">
        <v>391</v>
      </c>
      <c r="B144" s="622"/>
      <c r="C144" s="116"/>
      <c r="D144" s="114" t="s">
        <v>132</v>
      </c>
      <c r="E144" s="230">
        <f>E140+E143</f>
        <v>0</v>
      </c>
      <c r="F144" s="208"/>
      <c r="G144" s="208"/>
    </row>
    <row r="145" ht="12.75" hidden="1"/>
    <row r="146" ht="13.5" thickBot="1"/>
    <row r="147" spans="1:7" ht="25.5">
      <c r="A147" s="318" t="s">
        <v>125</v>
      </c>
      <c r="B147" s="319" t="s">
        <v>443</v>
      </c>
      <c r="C147" s="320" t="s">
        <v>444</v>
      </c>
      <c r="D147" s="320" t="s">
        <v>445</v>
      </c>
      <c r="E147" s="321" t="s">
        <v>446</v>
      </c>
      <c r="F147" s="322"/>
      <c r="G147" s="322"/>
    </row>
    <row r="148" spans="1:7" ht="12.75">
      <c r="A148" s="323">
        <v>1</v>
      </c>
      <c r="B148" s="234">
        <v>2</v>
      </c>
      <c r="C148" s="234">
        <v>3</v>
      </c>
      <c r="D148" s="234">
        <v>4</v>
      </c>
      <c r="E148" s="324">
        <v>5</v>
      </c>
      <c r="F148" s="325"/>
      <c r="G148" s="325"/>
    </row>
    <row r="149" spans="1:7" ht="38.25">
      <c r="A149" s="326">
        <v>1</v>
      </c>
      <c r="B149" s="266" t="s">
        <v>735</v>
      </c>
      <c r="C149" s="342">
        <f>C151+C152+C153</f>
        <v>1126340</v>
      </c>
      <c r="D149" s="327">
        <f>D151+D152+D153</f>
        <v>0</v>
      </c>
      <c r="E149" s="360">
        <f>C149+D149</f>
        <v>1126340</v>
      </c>
      <c r="F149" s="325"/>
      <c r="G149" s="325"/>
    </row>
    <row r="150" spans="1:7" ht="12.75">
      <c r="A150" s="594" t="s">
        <v>448</v>
      </c>
      <c r="B150" s="595"/>
      <c r="C150" s="234"/>
      <c r="D150" s="234"/>
      <c r="E150" s="361"/>
      <c r="F150" s="325"/>
      <c r="G150" s="325"/>
    </row>
    <row r="151" spans="1:7" ht="42.75" customHeight="1">
      <c r="A151" s="330" t="s">
        <v>449</v>
      </c>
      <c r="B151" s="128" t="s">
        <v>746</v>
      </c>
      <c r="C151" s="342">
        <f>E31+E44+E96+E127+E131+E102</f>
        <v>1126340</v>
      </c>
      <c r="D151" s="331"/>
      <c r="E151" s="360">
        <f>C151+D151</f>
        <v>1126340</v>
      </c>
      <c r="F151" s="325"/>
      <c r="G151" s="325"/>
    </row>
    <row r="152" spans="1:7" ht="3.75" customHeight="1" hidden="1">
      <c r="A152" s="330" t="s">
        <v>451</v>
      </c>
      <c r="B152" s="128"/>
      <c r="C152" s="331"/>
      <c r="D152" s="331"/>
      <c r="E152" s="361"/>
      <c r="F152" s="325"/>
      <c r="G152" s="325"/>
    </row>
    <row r="153" spans="1:7" ht="26.25" customHeight="1" hidden="1">
      <c r="A153" s="332" t="s">
        <v>453</v>
      </c>
      <c r="B153" s="128"/>
      <c r="C153" s="331"/>
      <c r="D153" s="331"/>
      <c r="E153" s="361"/>
      <c r="F153" s="325"/>
      <c r="G153" s="325"/>
    </row>
    <row r="154" spans="1:7" ht="0.75" customHeight="1" hidden="1">
      <c r="A154" s="332"/>
      <c r="B154" s="128" t="s">
        <v>623</v>
      </c>
      <c r="C154" s="342">
        <f>E131+E102</f>
        <v>0</v>
      </c>
      <c r="D154" s="331"/>
      <c r="E154" s="361">
        <f>C154+D154</f>
        <v>0</v>
      </c>
      <c r="F154" s="325"/>
      <c r="G154" s="325"/>
    </row>
    <row r="155" spans="1:7" ht="54" customHeight="1">
      <c r="A155" s="326">
        <v>2</v>
      </c>
      <c r="B155" s="266" t="s">
        <v>571</v>
      </c>
      <c r="C155" s="342">
        <f>E85+E32+E89</f>
        <v>70701</v>
      </c>
      <c r="D155" s="327">
        <f>D157</f>
        <v>0</v>
      </c>
      <c r="E155" s="360">
        <f>C155+D155</f>
        <v>70701</v>
      </c>
      <c r="F155" s="325"/>
      <c r="G155" s="325"/>
    </row>
    <row r="156" spans="1:7" ht="12.75" hidden="1">
      <c r="A156" s="594" t="s">
        <v>448</v>
      </c>
      <c r="B156" s="595"/>
      <c r="C156" s="234"/>
      <c r="D156" s="234"/>
      <c r="E156" s="361"/>
      <c r="F156" s="325"/>
      <c r="G156" s="325"/>
    </row>
    <row r="157" spans="1:7" ht="12.75" hidden="1">
      <c r="A157" s="330" t="s">
        <v>455</v>
      </c>
      <c r="B157" s="128"/>
      <c r="C157" s="331"/>
      <c r="D157" s="331"/>
      <c r="E157" s="361"/>
      <c r="F157" s="325"/>
      <c r="G157" s="325"/>
    </row>
    <row r="158" spans="1:7" ht="12.75" hidden="1">
      <c r="A158" s="330" t="s">
        <v>572</v>
      </c>
      <c r="B158" s="128"/>
      <c r="C158" s="331"/>
      <c r="D158" s="331"/>
      <c r="E158" s="361"/>
      <c r="F158" s="325"/>
      <c r="G158" s="325"/>
    </row>
    <row r="159" spans="1:7" ht="39" customHeight="1" hidden="1">
      <c r="A159" s="326">
        <v>3</v>
      </c>
      <c r="B159" s="266" t="s">
        <v>573</v>
      </c>
      <c r="C159" s="327">
        <f>C161</f>
        <v>0</v>
      </c>
      <c r="D159" s="327">
        <f>D161</f>
        <v>0</v>
      </c>
      <c r="E159" s="360">
        <f>C159+D159</f>
        <v>0</v>
      </c>
      <c r="F159" s="325"/>
      <c r="G159" s="325"/>
    </row>
    <row r="160" spans="1:7" ht="12.75" hidden="1">
      <c r="A160" s="594" t="s">
        <v>448</v>
      </c>
      <c r="B160" s="595"/>
      <c r="C160" s="234"/>
      <c r="D160" s="234"/>
      <c r="E160" s="361"/>
      <c r="F160" s="325"/>
      <c r="G160" s="325"/>
    </row>
    <row r="161" spans="1:7" ht="12.75" hidden="1">
      <c r="A161" s="330" t="s">
        <v>164</v>
      </c>
      <c r="B161" s="128"/>
      <c r="C161" s="331"/>
      <c r="D161" s="331"/>
      <c r="E161" s="361"/>
      <c r="F161" s="325"/>
      <c r="G161" s="325"/>
    </row>
    <row r="162" spans="1:7" ht="12.75" hidden="1">
      <c r="A162" s="330" t="s">
        <v>165</v>
      </c>
      <c r="B162" s="128"/>
      <c r="C162" s="331"/>
      <c r="D162" s="331"/>
      <c r="E162" s="361"/>
      <c r="F162" s="325"/>
      <c r="G162" s="325"/>
    </row>
    <row r="163" spans="1:7" s="407" customFormat="1" ht="25.5" hidden="1">
      <c r="A163" s="405"/>
      <c r="B163" s="128" t="s">
        <v>623</v>
      </c>
      <c r="C163" s="423">
        <f>E89</f>
        <v>0</v>
      </c>
      <c r="D163" s="406"/>
      <c r="E163" s="425">
        <f>C163</f>
        <v>0</v>
      </c>
      <c r="F163" s="322"/>
      <c r="G163" s="322"/>
    </row>
    <row r="164" spans="1:7" ht="13.5" thickBot="1">
      <c r="A164" s="333"/>
      <c r="B164" s="334" t="s">
        <v>574</v>
      </c>
      <c r="C164" s="362">
        <f>C151+C155</f>
        <v>1197041</v>
      </c>
      <c r="D164" s="362">
        <f>D149+D155+D163</f>
        <v>0</v>
      </c>
      <c r="E164" s="404">
        <f>E151+E155</f>
        <v>1197041</v>
      </c>
      <c r="F164" s="325"/>
      <c r="G164" s="325"/>
    </row>
    <row r="166" spans="1:7" ht="15">
      <c r="A166" s="1" t="s">
        <v>406</v>
      </c>
      <c r="B166" s="7"/>
      <c r="C166" s="562"/>
      <c r="D166" s="562"/>
      <c r="E166" s="486"/>
      <c r="F166" s="658" t="s">
        <v>691</v>
      </c>
      <c r="G166" s="658"/>
    </row>
    <row r="167" spans="1:3" ht="15">
      <c r="A167" s="1"/>
      <c r="B167" s="7"/>
      <c r="C167" s="5"/>
    </row>
    <row r="168" spans="1:7" ht="15">
      <c r="A168" s="1" t="s">
        <v>61</v>
      </c>
      <c r="B168" s="7"/>
      <c r="C168" s="562"/>
      <c r="D168" s="562"/>
      <c r="E168" s="486"/>
      <c r="F168" s="658" t="s">
        <v>207</v>
      </c>
      <c r="G168" s="658"/>
    </row>
    <row r="169" spans="1:3" ht="15">
      <c r="A169" s="1"/>
      <c r="B169" s="7"/>
      <c r="C169" s="5"/>
    </row>
    <row r="170" spans="1:7" ht="15">
      <c r="A170" s="1" t="s">
        <v>183</v>
      </c>
      <c r="B170" s="7"/>
      <c r="C170" s="562"/>
      <c r="D170" s="562"/>
      <c r="E170" s="486"/>
      <c r="F170" s="658" t="s">
        <v>207</v>
      </c>
      <c r="G170" s="658"/>
    </row>
    <row r="171" spans="1:12" ht="7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184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ht="6.75" customHeight="1"/>
    <row r="174" spans="1:2" ht="14.25" customHeight="1">
      <c r="A174" s="645" t="s">
        <v>396</v>
      </c>
      <c r="B174" s="645"/>
    </row>
    <row r="175" spans="1:8" ht="15">
      <c r="A175" s="1" t="s">
        <v>397</v>
      </c>
      <c r="B175" s="7"/>
      <c r="C175" s="562"/>
      <c r="D175" s="562"/>
      <c r="F175" s="485"/>
      <c r="G175" s="485"/>
      <c r="H175" s="486"/>
    </row>
  </sheetData>
  <sheetProtection/>
  <mergeCells count="79">
    <mergeCell ref="F166:G166"/>
    <mergeCell ref="F168:G168"/>
    <mergeCell ref="F170:G170"/>
    <mergeCell ref="A2:G2"/>
    <mergeCell ref="A3:G3"/>
    <mergeCell ref="A4:G4"/>
    <mergeCell ref="A24:G24"/>
    <mergeCell ref="A135:H135"/>
    <mergeCell ref="A117:B117"/>
    <mergeCell ref="A115:B115"/>
    <mergeCell ref="C175:D175"/>
    <mergeCell ref="C170:D170"/>
    <mergeCell ref="A160:B160"/>
    <mergeCell ref="A140:B140"/>
    <mergeCell ref="A143:B143"/>
    <mergeCell ref="A144:B144"/>
    <mergeCell ref="A174:B174"/>
    <mergeCell ref="C166:D166"/>
    <mergeCell ref="C168:D168"/>
    <mergeCell ref="A127:B127"/>
    <mergeCell ref="A134:B134"/>
    <mergeCell ref="A156:B156"/>
    <mergeCell ref="A150:B150"/>
    <mergeCell ref="A132:B132"/>
    <mergeCell ref="A130:B130"/>
    <mergeCell ref="A118:H118"/>
    <mergeCell ref="G121:G125"/>
    <mergeCell ref="A90:B90"/>
    <mergeCell ref="F83:F84"/>
    <mergeCell ref="A79:B79"/>
    <mergeCell ref="A80:H80"/>
    <mergeCell ref="G83:G84"/>
    <mergeCell ref="F121:F125"/>
    <mergeCell ref="A105:B105"/>
    <mergeCell ref="A106:I106"/>
    <mergeCell ref="A5:G5"/>
    <mergeCell ref="A8:B8"/>
    <mergeCell ref="C25:I25"/>
    <mergeCell ref="A28:I28"/>
    <mergeCell ref="A9:B9"/>
    <mergeCell ref="A10:H10"/>
    <mergeCell ref="A11:H11"/>
    <mergeCell ref="C8:H8"/>
    <mergeCell ref="A20:B20"/>
    <mergeCell ref="A21:B21"/>
    <mergeCell ref="A60:B60"/>
    <mergeCell ref="A72:B72"/>
    <mergeCell ref="A76:B76"/>
    <mergeCell ref="A63:B63"/>
    <mergeCell ref="A64:B64"/>
    <mergeCell ref="A67:H67"/>
    <mergeCell ref="A75:B75"/>
    <mergeCell ref="A66:B66"/>
    <mergeCell ref="A27:B27"/>
    <mergeCell ref="A6:I6"/>
    <mergeCell ref="A33:B33"/>
    <mergeCell ref="A25:B25"/>
    <mergeCell ref="A40:B40"/>
    <mergeCell ref="A41:I41"/>
    <mergeCell ref="A17:B17"/>
    <mergeCell ref="A36:B36"/>
    <mergeCell ref="A54:B54"/>
    <mergeCell ref="A55:H55"/>
    <mergeCell ref="A45:B45"/>
    <mergeCell ref="A48:B48"/>
    <mergeCell ref="A26:I26"/>
    <mergeCell ref="A49:B49"/>
    <mergeCell ref="A38:B38"/>
    <mergeCell ref="A52:B52"/>
    <mergeCell ref="C52:H52"/>
    <mergeCell ref="A53:H53"/>
    <mergeCell ref="A111:B111"/>
    <mergeCell ref="A114:B114"/>
    <mergeCell ref="A85:B85"/>
    <mergeCell ref="A88:B88"/>
    <mergeCell ref="A93:H93"/>
    <mergeCell ref="A101:B101"/>
    <mergeCell ref="A98:B98"/>
    <mergeCell ref="A92:B92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Микурова Наталья Викторовна</dc:creator>
  <cp:keywords/>
  <dc:description/>
  <cp:lastModifiedBy>Пользователь Windows</cp:lastModifiedBy>
  <cp:lastPrinted>2018-01-23T06:06:22Z</cp:lastPrinted>
  <dcterms:created xsi:type="dcterms:W3CDTF">2015-12-29T05:26:46Z</dcterms:created>
  <dcterms:modified xsi:type="dcterms:W3CDTF">2018-02-06T04:50:13Z</dcterms:modified>
  <cp:category/>
  <cp:version/>
  <cp:contentType/>
  <cp:contentStatus/>
</cp:coreProperties>
</file>